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7400" windowHeight="1176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 r:id="rId16"/>
    <externalReference r:id="rId17"/>
  </externalReferences>
  <definedNames/>
  <calcPr fullCalcOnLoad="1"/>
</workbook>
</file>

<file path=xl/sharedStrings.xml><?xml version="1.0" encoding="utf-8"?>
<sst xmlns="http://schemas.openxmlformats.org/spreadsheetml/2006/main" count="493" uniqueCount="213">
  <si>
    <t>NEW JERSEY INSURANCE UNDERWRITING ASSOCIATION</t>
  </si>
  <si>
    <t>POLICY YEAR 2012</t>
  </si>
  <si>
    <t>POLICY YEAR 2011</t>
  </si>
  <si>
    <t>POLICY YEAR 2010</t>
  </si>
  <si>
    <t>TOTAL</t>
  </si>
  <si>
    <t>FIRE</t>
  </si>
  <si>
    <t xml:space="preserve">ALLIED </t>
  </si>
  <si>
    <t>CRIME</t>
  </si>
  <si>
    <t>ALLIED</t>
  </si>
  <si>
    <t>TOTAL LIABILITIES PLUS EQUITY ACCOUNT</t>
  </si>
  <si>
    <t>EQUITY ACCOUNT</t>
  </si>
  <si>
    <t>TOTAL LIABILITIES &amp; RESERVES</t>
  </si>
  <si>
    <t xml:space="preserve">                            TOTAL RESERVES</t>
  </si>
  <si>
    <t xml:space="preserve">     TAXES &amp; FEES </t>
  </si>
  <si>
    <t xml:space="preserve">     ASSOCIATION EXPENSES </t>
  </si>
  <si>
    <t xml:space="preserve">     LOSS EXPENSE- UNALLOCATED</t>
  </si>
  <si>
    <t xml:space="preserve">     LOSS EXPENSE- ALLOCATED</t>
  </si>
  <si>
    <t xml:space="preserve">     LOSS - I.B.N.R</t>
  </si>
  <si>
    <t xml:space="preserve">     LOSS - CASE BASIS</t>
  </si>
  <si>
    <t xml:space="preserve">     UNEARNED PREMIUMS</t>
  </si>
  <si>
    <t>RESERVES</t>
  </si>
  <si>
    <t xml:space="preserve">          TOTAL LIABILITIES</t>
  </si>
  <si>
    <t xml:space="preserve">      CLAIM CHECKS PAYABLE</t>
  </si>
  <si>
    <t xml:space="preserve">      OTHER PAYABLES</t>
  </si>
  <si>
    <t xml:space="preserve">      RETURN PREMIUMS</t>
  </si>
  <si>
    <t xml:space="preserve">      ADVANCE PREMIUMS</t>
  </si>
  <si>
    <t xml:space="preserve">      AMOUNTS HELD FOR OTHERS</t>
  </si>
  <si>
    <t xml:space="preserve">      DEFINED BENEFIT PENSION PLAN</t>
  </si>
  <si>
    <t xml:space="preserve">      POST RETIREMENT BENEFITS (other than pensions)</t>
  </si>
  <si>
    <t>LIABILITIES</t>
  </si>
  <si>
    <t xml:space="preserve">          TOTAL ASSETS</t>
  </si>
  <si>
    <t xml:space="preserve">     PREMIUMS RECEIVABLE</t>
  </si>
  <si>
    <t xml:space="preserve">     EDP - EQUIPMENT &amp; SOFTWARE</t>
  </si>
  <si>
    <t xml:space="preserve">     FURNITURE &amp; EQUIPMENT</t>
  </si>
  <si>
    <t xml:space="preserve">     ACCRUED INTEREST</t>
  </si>
  <si>
    <t xml:space="preserve">     CASH &amp; SHORT-TERM INVESTMENTS</t>
  </si>
  <si>
    <t xml:space="preserve">     STOCKS</t>
  </si>
  <si>
    <t xml:space="preserve">     BONDS</t>
  </si>
  <si>
    <t>ASSETS</t>
  </si>
  <si>
    <t>NET ADMITTED ASSETS</t>
  </si>
  <si>
    <t>NON- ADMITTED ASSETS</t>
  </si>
  <si>
    <t>LEDGER ASSETS</t>
  </si>
  <si>
    <t>BALANCE SHEET</t>
  </si>
  <si>
    <t xml:space="preserve"> </t>
  </si>
  <si>
    <t>CHANGE IN EQUITY</t>
  </si>
  <si>
    <t xml:space="preserve">     CHANGE IN NONADMITTED ASSETS</t>
  </si>
  <si>
    <t xml:space="preserve">     NET EQUITY - PRIOR</t>
  </si>
  <si>
    <t xml:space="preserve">         TOTAL OTHER INCOME</t>
  </si>
  <si>
    <t xml:space="preserve">       INSTALLMENT SERVICE FEE</t>
  </si>
  <si>
    <r>
      <t xml:space="preserve">       OTHER INCOME </t>
    </r>
  </si>
  <si>
    <t>OTHER INCOME</t>
  </si>
  <si>
    <t xml:space="preserve">         NET INVESTMENT GAIN</t>
  </si>
  <si>
    <t xml:space="preserve">     NET INVESTMENT INCOME EARNED</t>
  </si>
  <si>
    <t>INVESTMENT INCOME</t>
  </si>
  <si>
    <t xml:space="preserve"> UNDERWRITING LOSS</t>
  </si>
  <si>
    <t xml:space="preserve">         TOTAL DEDUCTIONS</t>
  </si>
  <si>
    <t xml:space="preserve">     TAXES &amp; FEES INCURRED</t>
  </si>
  <si>
    <t xml:space="preserve">     OTHER UNDERWRITING EXPENSES</t>
  </si>
  <si>
    <t xml:space="preserve">     COMMISSIONS INCURRED</t>
  </si>
  <si>
    <t xml:space="preserve">     LOSS EXPENSES INCURRED</t>
  </si>
  <si>
    <t xml:space="preserve">     LOSSES INCURRED</t>
  </si>
  <si>
    <t>DEDUCTIONS</t>
  </si>
  <si>
    <t xml:space="preserve">     PREMIUMS EARNED</t>
  </si>
  <si>
    <t>UNDERWRITING INCOME</t>
  </si>
  <si>
    <t>YEAR-TO-DATE</t>
  </si>
  <si>
    <t>QUARTER-TO-DATE</t>
  </si>
  <si>
    <t xml:space="preserve"> INCOME STATEMENT</t>
  </si>
  <si>
    <t>NET CHANGE IN EQUITY</t>
  </si>
  <si>
    <t xml:space="preserve">          TOTAL</t>
  </si>
  <si>
    <t xml:space="preserve">     UNPAID TAXES &amp; FEES</t>
  </si>
  <si>
    <t xml:space="preserve">     UNPAID ASSOCIATION EXPENSES</t>
  </si>
  <si>
    <t xml:space="preserve">     UNPAID LOSSES EXPENSES</t>
  </si>
  <si>
    <t xml:space="preserve">     UNPAID LOSSES</t>
  </si>
  <si>
    <t>PRIOR RESERVES</t>
  </si>
  <si>
    <t xml:space="preserve">     UNPAID LOSS EXPENSES</t>
  </si>
  <si>
    <t>CURRENT RESERVES</t>
  </si>
  <si>
    <t>EQUITY IN ASSETS OF ASSOCIATION</t>
  </si>
  <si>
    <t xml:space="preserve">     PRIOR NONADMITTED ASSETS</t>
  </si>
  <si>
    <t xml:space="preserve">     CURRENT ACCRUED INTEREST</t>
  </si>
  <si>
    <t>ADD</t>
  </si>
  <si>
    <t xml:space="preserve">     CURRENT NONADMITTED ASSETS</t>
  </si>
  <si>
    <t xml:space="preserve">     PRIOR ACCRUED INTEREST</t>
  </si>
  <si>
    <t>DEDUCT</t>
  </si>
  <si>
    <t>INCREASE (DECREASE)</t>
  </si>
  <si>
    <t xml:space="preserve">     ASSOCIATION EXPENSES</t>
  </si>
  <si>
    <t xml:space="preserve">     COMMISSIONS</t>
  </si>
  <si>
    <t xml:space="preserve">     BOARDS &amp; BUREAUS</t>
  </si>
  <si>
    <t xml:space="preserve">     SURVEYS &amp; UNDERWRITING RPTS</t>
  </si>
  <si>
    <t xml:space="preserve">     INSPECTION AND RATING ISO</t>
  </si>
  <si>
    <t xml:space="preserve">     UNALLOCATED LOSS EXPENSE</t>
  </si>
  <si>
    <t xml:space="preserve">     ALLOCATED LOSS EXPENSE </t>
  </si>
  <si>
    <t xml:space="preserve">     LOSSES PAID</t>
  </si>
  <si>
    <t>EXPENSES PAID</t>
  </si>
  <si>
    <t xml:space="preserve">      NET REALIZED CAPITAL LOSS</t>
  </si>
  <si>
    <t xml:space="preserve">      INVESTMENT INCOME RECEIVED</t>
  </si>
  <si>
    <t xml:space="preserve">      PREMIUMS WRITTEN</t>
  </si>
  <si>
    <t>INCOME RECEIVED</t>
  </si>
  <si>
    <t xml:space="preserve"> EQUITY ACCOUNT</t>
  </si>
  <si>
    <t>Net Loss</t>
  </si>
  <si>
    <t>Net Investment Gain</t>
  </si>
  <si>
    <t>Net Realized Capital Loss</t>
  </si>
  <si>
    <t>Net Investment Income Earned</t>
  </si>
  <si>
    <t>Change in Accrued Interest</t>
  </si>
  <si>
    <t>Prior Accrued Interest</t>
  </si>
  <si>
    <t>Current Accrued Interest</t>
  </si>
  <si>
    <t>Net Investment Income Received</t>
  </si>
  <si>
    <t>Underwriting Loss</t>
  </si>
  <si>
    <t>Total Loss &amp; Underwriting Exp. Incurred</t>
  </si>
  <si>
    <t>Total Other Underwriting Exp. Incurred</t>
  </si>
  <si>
    <t>Other Underwriting Exp. Incurred</t>
  </si>
  <si>
    <t>Change in Other Underwriting Exp. Reserve</t>
  </si>
  <si>
    <t>Prior Reserve</t>
  </si>
  <si>
    <t>Current Reserve</t>
  </si>
  <si>
    <t>Total Underwriting Exp. Paid</t>
  </si>
  <si>
    <t>Other Operating Exp. Paid</t>
  </si>
  <si>
    <t>Board Bureaus &amp; Inspections Paid</t>
  </si>
  <si>
    <t>Commissions Expense Paid</t>
  </si>
  <si>
    <t>Net Taxes &amp; Fees Incurred</t>
  </si>
  <si>
    <t>Change in Reserve for Taxes &amp; Fees</t>
  </si>
  <si>
    <t>Taxes &amp; Fees Paid</t>
  </si>
  <si>
    <t>Total Loss &amp; Loss Exp. Incurred</t>
  </si>
  <si>
    <t>Net Loss Exp. Incurred</t>
  </si>
  <si>
    <t>Change in Loss Exp. Reserve</t>
  </si>
  <si>
    <t>Prior Loss Exp. Reserve</t>
  </si>
  <si>
    <t>Current Loss Exp. Reserve</t>
  </si>
  <si>
    <t>Total Loss Exp. Paid</t>
  </si>
  <si>
    <t>Unallocated Loss Exp. Paid</t>
  </si>
  <si>
    <t>Allocated Loss Exp. Paid</t>
  </si>
  <si>
    <t>Net Losses Incurred</t>
  </si>
  <si>
    <t>Change in Loss Reserve</t>
  </si>
  <si>
    <t>Prior Loss Reserve</t>
  </si>
  <si>
    <t>Current Loss Reserve</t>
  </si>
  <si>
    <t>Net Losses Paid</t>
  </si>
  <si>
    <t>Less Salvage &amp; Subrogation</t>
  </si>
  <si>
    <t>Losses Paid</t>
  </si>
  <si>
    <t>Net Premium Earned</t>
  </si>
  <si>
    <t>Change in Unearned Premium Reserve</t>
  </si>
  <si>
    <t>Prior Unearned Reserve</t>
  </si>
  <si>
    <t>Current Unearned Reserve</t>
  </si>
  <si>
    <t>Premiums Written</t>
  </si>
  <si>
    <t/>
  </si>
  <si>
    <t>EARNED/INCURRED BASIS</t>
  </si>
  <si>
    <t>UNDERWRITING STATEMENT</t>
  </si>
  <si>
    <t>*Note: The Terrorism Risk Insurance Program Reauthorization Act of 2007 requires insurers to report direct earned premium for commercial business written.                                                         This amount is shown on page 8.</t>
  </si>
  <si>
    <t xml:space="preserve">            TOTAL</t>
  </si>
  <si>
    <t xml:space="preserve">     CRIME</t>
  </si>
  <si>
    <t xml:space="preserve">     ALLIED </t>
  </si>
  <si>
    <t xml:space="preserve">     FIRE</t>
  </si>
  <si>
    <t>EARNED PREMIUM</t>
  </si>
  <si>
    <t xml:space="preserve">    CRIME</t>
  </si>
  <si>
    <t xml:space="preserve">    ALLIED </t>
  </si>
  <si>
    <t>WRITTEN PREMIUMS</t>
  </si>
  <si>
    <t>*SEE NOTE BELOW</t>
  </si>
  <si>
    <t>STATISTICAL REPORT ON PREMIUMS</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</si>
  <si>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</si>
  <si>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Total TRIA</t>
  </si>
  <si>
    <t>Commercial</t>
  </si>
  <si>
    <t>1-4 Family Tenant-Occupied</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</si>
  <si>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</si>
  <si>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 xml:space="preserve">       CRIME</t>
  </si>
  <si>
    <t xml:space="preserve">       ALLIED </t>
  </si>
  <si>
    <t xml:space="preserve">       FIRE</t>
  </si>
  <si>
    <t>INCURRED LOSSES</t>
  </si>
  <si>
    <t>(Including I.B.N.R. Reserves)</t>
  </si>
  <si>
    <t xml:space="preserve">      FIRE</t>
  </si>
  <si>
    <t>Net of Salvage &amp; Subrogation Received</t>
  </si>
  <si>
    <t xml:space="preserve">PAID LOSSES </t>
  </si>
  <si>
    <t xml:space="preserve"> STATISTICAL REPORT ON LOSSES</t>
  </si>
  <si>
    <t>ALAE &amp; ULAE LOSS EXPENSES  INCURRED</t>
  </si>
  <si>
    <t>LOSS EXPENSES PAID                                      (ALAE AND ULAE)</t>
  </si>
  <si>
    <t>(INCLUDES ALLOCATED AND UNALLOCATED LOSS EXPENSES)</t>
  </si>
  <si>
    <t>STATISTICAL REPORT ON LOSS EXPENSES</t>
  </si>
  <si>
    <t>AT JUNE 30, 2013</t>
  </si>
  <si>
    <t xml:space="preserve">     NET EQUITY AT JUNE 30, 2013</t>
  </si>
  <si>
    <t>YTD PERIOD ENDED JUNE 30, 2013</t>
  </si>
  <si>
    <t>QTD PERIOD ENDED JUNE 30, 2013</t>
  </si>
  <si>
    <t>POLICY YEAR 2013</t>
  </si>
  <si>
    <t>YTD PERIOD ENDING JUNE 30, 2013</t>
  </si>
  <si>
    <t>CURRENT LOSS EXPENSE RESERVES               @ 06-30-13</t>
  </si>
  <si>
    <t>PRIOR LOSS  EXPENSE RESERVES                     @ 12-31-12</t>
  </si>
  <si>
    <t>QTD PERIOD ENDING JUNE 30, 2013</t>
  </si>
  <si>
    <t>PRIOR LOSS  EXPENSE RESERVES                     @ 03-31-13</t>
  </si>
  <si>
    <t>NET EQUITY AT JUNE 30, 2013</t>
  </si>
  <si>
    <t>JUNE 30, 2013</t>
  </si>
  <si>
    <t>CURRENT CASE BASIS RESERVES (06-30-13)</t>
  </si>
  <si>
    <t>CURRENT I.B.N.R. RESERVES (06-30-13)</t>
  </si>
  <si>
    <t>PRIOR LOSS RESERVES (12-31-12)</t>
  </si>
  <si>
    <t>PRIOR LOSS RESERVES (03-31-13)</t>
  </si>
  <si>
    <t>CURRENT UNEARNED PREMIUM RESERVE              @ 06-30-13</t>
  </si>
  <si>
    <t>PRIOR UNEARNED PREMIUM RESERVE                     @ 12-31-12</t>
  </si>
  <si>
    <t>PRIOR UNEARNED PREMIUM RESERVE                     @ 03-31-13</t>
  </si>
  <si>
    <t>06-30-13</t>
  </si>
  <si>
    <t xml:space="preserve">      PREPAID PENSION ASSET </t>
  </si>
  <si>
    <t xml:space="preserve">      CHANGE IN PENSION OBLIGATION (SSAP 102)</t>
  </si>
  <si>
    <t xml:space="preserve">      CHANGE IN  POST RETIREMENT BENEFITS (SSAP 92)</t>
  </si>
  <si>
    <t xml:space="preserve">     MEMBER ASSESSMENT</t>
  </si>
  <si>
    <t xml:space="preserve">     CHANGE IN PENSION OBLIGATION (SSAP 102)</t>
  </si>
  <si>
    <t xml:space="preserve">     CHANGE IN  POST RETIREMENT BENEFITS (SSAP 92)</t>
  </si>
  <si>
    <r>
      <t xml:space="preserve">                                           </t>
    </r>
    <r>
      <rPr>
        <b/>
        <sz val="9"/>
        <rFont val="Century Schoolbook"/>
        <family val="1"/>
      </rPr>
      <t xml:space="preserve">         1Q12</t>
    </r>
    <r>
      <rPr>
        <sz val="9"/>
        <rFont val="Century Schoolbook"/>
        <family val="1"/>
      </rPr>
      <t xml:space="preserve">         $147,363</t>
    </r>
  </si>
  <si>
    <r>
      <t xml:space="preserve">       1Q13       </t>
    </r>
    <r>
      <rPr>
        <sz val="9"/>
        <rFont val="Century Schoolbook"/>
        <family val="1"/>
      </rPr>
      <t>$138,025</t>
    </r>
  </si>
  <si>
    <r>
      <t xml:space="preserve">                                           </t>
    </r>
    <r>
      <rPr>
        <b/>
        <sz val="9"/>
        <rFont val="Century Schoolbook"/>
        <family val="1"/>
      </rPr>
      <t xml:space="preserve">         2Q12</t>
    </r>
    <r>
      <rPr>
        <sz val="9"/>
        <rFont val="Century Schoolbook"/>
        <family val="1"/>
      </rPr>
      <t xml:space="preserve">         $144,440</t>
    </r>
  </si>
  <si>
    <r>
      <t xml:space="preserve">                                           </t>
    </r>
    <r>
      <rPr>
        <b/>
        <sz val="9"/>
        <rFont val="Century Schoolbook"/>
        <family val="1"/>
      </rPr>
      <t xml:space="preserve">         3Q12</t>
    </r>
    <r>
      <rPr>
        <sz val="9"/>
        <rFont val="Century Schoolbook"/>
        <family val="1"/>
      </rPr>
      <t xml:space="preserve">         $141,933</t>
    </r>
  </si>
  <si>
    <r>
      <t xml:space="preserve">                                           </t>
    </r>
    <r>
      <rPr>
        <b/>
        <sz val="9"/>
        <rFont val="Century Schoolbook"/>
        <family val="1"/>
      </rPr>
      <t xml:space="preserve">         4Q12</t>
    </r>
    <r>
      <rPr>
        <sz val="9"/>
        <rFont val="Century Schoolbook"/>
        <family val="1"/>
      </rPr>
      <t xml:space="preserve">         $141,618</t>
    </r>
  </si>
  <si>
    <r>
      <t xml:space="preserve">     NET UNREALIZED LOSS</t>
    </r>
    <r>
      <rPr>
        <sz val="11"/>
        <color indexed="10"/>
        <rFont val="Century Schoolbook"/>
        <family val="1"/>
      </rPr>
      <t xml:space="preserve"> </t>
    </r>
  </si>
  <si>
    <t xml:space="preserve">     NET REALIZED CAPITAL LOSS</t>
  </si>
  <si>
    <t xml:space="preserve"> NET LOSS</t>
  </si>
  <si>
    <t xml:space="preserve">     NET LOSS FOR PERIOD</t>
  </si>
  <si>
    <t>Othe Income (includes installment service fees)</t>
  </si>
  <si>
    <t xml:space="preserve">       OTHER INCOME (includes installment service fees)</t>
  </si>
  <si>
    <t>OTHER CHARGES/ADDITIONS TO EQUITY</t>
  </si>
  <si>
    <t xml:space="preserve">     NET UNREALIZED LOSS</t>
  </si>
  <si>
    <t xml:space="preserve">     PREPAID EXPENSES</t>
  </si>
  <si>
    <r>
      <t xml:space="preserve">       2Q13       </t>
    </r>
    <r>
      <rPr>
        <sz val="9"/>
        <rFont val="Century Schoolbook"/>
        <family val="1"/>
      </rPr>
      <t>$134,123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</si>
</sst>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 numFmtId="167" formatCode="&quot;$&quot;#,##0;[Red]&quot;$&quot;#,##0"/>
  </numFmts>
  <fonts count="70">
    <font>
      <sz val="11"/>
      <color theme="1"/>
      <name val="Calibri"/>
      <family val="2"/>
    </font>
    <font>
      <sz val="11"/>
      <color indexed="8"/>
      <name val="Calibri"/>
      <family val="2"/>
    </font>
    <font>
      <sz val="10"/>
      <name val="Arial"/>
      <family val="2"/>
    </font>
    <font>
      <b/>
      <sz val="18"/>
      <name val="Century Schoolbook"/>
      <family val="1"/>
    </font>
    <font>
      <sz val="10"/>
      <name val="Century Schoolbook"/>
      <family val="1"/>
    </font>
    <font>
      <b/>
      <sz val="12"/>
      <name val="Century Schoolbook"/>
      <family val="1"/>
    </font>
    <font>
      <sz val="12"/>
      <name val="Century Schoolbook"/>
      <family val="1"/>
    </font>
    <font>
      <b/>
      <sz val="11"/>
      <name val="Century Schoolbook"/>
      <family val="1"/>
    </font>
    <font>
      <sz val="11"/>
      <name val="Century Schoolbook"/>
      <family val="1"/>
    </font>
    <font>
      <sz val="11"/>
      <color indexed="8"/>
      <name val="Century Schoolbook"/>
      <family val="1"/>
    </font>
    <font>
      <b/>
      <sz val="18"/>
      <color indexed="8"/>
      <name val="Century Schoolbook"/>
      <family val="1"/>
    </font>
    <font>
      <b/>
      <sz val="14"/>
      <color indexed="8"/>
      <name val="Century Schoolbook"/>
      <family val="1"/>
    </font>
    <font>
      <b/>
      <sz val="12"/>
      <color indexed="8"/>
      <name val="Century Schoolbook"/>
      <family val="1"/>
    </font>
    <font>
      <b/>
      <sz val="10"/>
      <color indexed="8"/>
      <name val="Century Schoolbook"/>
      <family val="1"/>
    </font>
    <font>
      <b/>
      <u val="single"/>
      <sz val="11"/>
      <color indexed="8"/>
      <name val="Century Schoolbook"/>
      <family val="1"/>
    </font>
    <font>
      <b/>
      <sz val="11"/>
      <color indexed="8"/>
      <name val="Century Schoolbook"/>
      <family val="1"/>
    </font>
    <font>
      <b/>
      <i/>
      <sz val="10"/>
      <name val="Century Schoolbook"/>
      <family val="1"/>
    </font>
    <font>
      <b/>
      <i/>
      <sz val="11"/>
      <name val="Century Schoolbook"/>
      <family val="1"/>
    </font>
    <font>
      <b/>
      <u val="single"/>
      <sz val="11"/>
      <name val="Century Schoolbook"/>
      <family val="1"/>
    </font>
    <font>
      <b/>
      <sz val="13"/>
      <name val="Century Schoolbook"/>
      <family val="1"/>
    </font>
    <font>
      <b/>
      <sz val="54"/>
      <color indexed="10"/>
      <name val="Calibri"/>
      <family val="2"/>
    </font>
    <font>
      <b/>
      <sz val="15"/>
      <name val="Century Schoolbook"/>
      <family val="1"/>
    </font>
    <font>
      <b/>
      <sz val="14"/>
      <name val="Century Schoolbook"/>
      <family val="1"/>
    </font>
    <font>
      <sz val="9"/>
      <name val="Century Schoolbook"/>
      <family val="1"/>
    </font>
    <font>
      <sz val="11"/>
      <color indexed="10"/>
      <name val="Century Schoolbook"/>
      <family val="1"/>
    </font>
    <font>
      <sz val="13"/>
      <name val="Century Schoolbook"/>
      <family val="1"/>
    </font>
    <font>
      <sz val="16"/>
      <name val="Century Schoolbook"/>
      <family val="1"/>
    </font>
    <font>
      <b/>
      <sz val="20"/>
      <name val="Century Schoolbook"/>
      <family val="1"/>
    </font>
    <font>
      <u val="single"/>
      <sz val="11"/>
      <name val="Century Schoolbook"/>
      <family val="1"/>
    </font>
    <font>
      <sz val="18"/>
      <name val="Century Schoolbook"/>
      <family val="1"/>
    </font>
    <font>
      <sz val="11"/>
      <color indexed="9"/>
      <name val="Century Schoolbook"/>
      <family val="1"/>
    </font>
    <font>
      <sz val="15"/>
      <name val="Century Schoolbook"/>
      <family val="1"/>
    </font>
    <font>
      <sz val="20"/>
      <name val="Century Schoolbook"/>
      <family val="1"/>
    </font>
    <font>
      <b/>
      <sz val="9"/>
      <name val="Century Schoolbook"/>
      <family val="1"/>
    </font>
    <font>
      <b/>
      <u val="single"/>
      <sz val="9"/>
      <name val="Century Schoolbook"/>
      <family val="1"/>
    </font>
    <font>
      <sz val="22"/>
      <name val="Century Schoolbook"/>
      <family val="1"/>
    </font>
    <font>
      <b/>
      <sz val="11"/>
      <color indexed="9"/>
      <name val="Century Schoolbook"/>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style="thin"/>
      <right style="thin"/>
      <top/>
      <bottom/>
    </border>
    <border>
      <left style="thin"/>
      <right style="thin"/>
      <top style="thin"/>
      <bottom/>
    </border>
    <border>
      <left/>
      <right style="thin"/>
      <top style="thin"/>
      <bottom style="double"/>
    </border>
    <border>
      <left/>
      <right style="thin"/>
      <top/>
      <bottom style="thin"/>
    </border>
    <border>
      <left/>
      <right style="thin"/>
      <top/>
      <bottom/>
    </border>
    <border>
      <left/>
      <right style="thin"/>
      <top style="medium"/>
      <bottom/>
    </border>
    <border>
      <left/>
      <right style="thin"/>
      <top style="thin"/>
      <bottom/>
    </border>
    <border>
      <left/>
      <right/>
      <top style="thin"/>
      <bottom style="double"/>
    </border>
    <border>
      <left style="thin"/>
      <right/>
      <top/>
      <bottom style="thin"/>
    </border>
    <border>
      <left/>
      <right style="thin"/>
      <top style="thin"/>
      <bottom style="thin"/>
    </border>
    <border>
      <left style="thin"/>
      <right/>
      <top/>
      <bottom/>
    </border>
    <border>
      <left/>
      <right/>
      <top style="thin"/>
      <bottom/>
    </border>
    <border>
      <left style="thin"/>
      <right/>
      <top style="thin"/>
      <bottom/>
    </border>
    <border>
      <left/>
      <right style="thin"/>
      <top/>
      <bottom style="mediu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9" fillId="0" borderId="0" applyNumberFormat="0" applyBorder="0" applyAlignment="0">
      <protection/>
    </xf>
    <xf numFmtId="0" fontId="10" fillId="0" borderId="0" applyNumberFormat="0" applyBorder="0" applyAlignment="0">
      <protection/>
    </xf>
    <xf numFmtId="0" fontId="11" fillId="0" borderId="0" applyNumberFormat="0" applyBorder="0" applyAlignment="0">
      <protection/>
    </xf>
    <xf numFmtId="0" fontId="12" fillId="0" borderId="0" applyNumberFormat="0" applyBorder="0" applyAlignment="0">
      <protection/>
    </xf>
    <xf numFmtId="0" fontId="13" fillId="0" borderId="0" applyNumberFormat="0" applyBorder="0" applyAlignment="0">
      <protection/>
    </xf>
    <xf numFmtId="0" fontId="14" fillId="0" borderId="0" applyNumberFormat="0" applyBorder="0" applyAlignment="0">
      <protection/>
    </xf>
    <xf numFmtId="0" fontId="15" fillId="0" borderId="0" applyNumberFormat="0" applyBorder="0" applyAlignment="0">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0">
    <xf numFmtId="0" fontId="0" fillId="0" borderId="0" xfId="0" applyFont="1" applyAlignment="1">
      <alignment/>
    </xf>
    <xf numFmtId="0" fontId="8" fillId="0" borderId="0" xfId="81" applyFont="1">
      <alignment/>
      <protection/>
    </xf>
    <xf numFmtId="5" fontId="8" fillId="0" borderId="0" xfId="46" applyNumberFormat="1" applyFont="1" applyAlignment="1">
      <alignment horizontal="right"/>
    </xf>
    <xf numFmtId="0" fontId="16" fillId="0" borderId="0" xfId="81" applyFont="1">
      <alignment/>
      <protection/>
    </xf>
    <xf numFmtId="5" fontId="16" fillId="0" borderId="0" xfId="46" applyNumberFormat="1" applyFont="1" applyAlignment="1" quotePrefix="1">
      <alignment horizontal="right"/>
    </xf>
    <xf numFmtId="5" fontId="16" fillId="0" borderId="0" xfId="46" applyNumberFormat="1" applyFont="1" applyAlignment="1">
      <alignment horizontal="right"/>
    </xf>
    <xf numFmtId="5" fontId="17" fillId="0" borderId="0" xfId="46" applyNumberFormat="1" applyFont="1" applyAlignment="1" quotePrefix="1">
      <alignment horizontal="right"/>
    </xf>
    <xf numFmtId="0" fontId="17" fillId="0" borderId="0" xfId="81" applyFont="1">
      <alignment/>
      <protection/>
    </xf>
    <xf numFmtId="7" fontId="8" fillId="0" borderId="0" xfId="81" applyNumberFormat="1" applyFont="1">
      <alignment/>
      <protection/>
    </xf>
    <xf numFmtId="5" fontId="8" fillId="0" borderId="0" xfId="46" applyNumberFormat="1" applyFont="1" applyFill="1" applyAlignment="1">
      <alignment horizontal="right"/>
    </xf>
    <xf numFmtId="42" fontId="8" fillId="0" borderId="0" xfId="50" applyFont="1" applyFill="1" applyAlignment="1">
      <alignment horizontal="right" wrapText="1"/>
    </xf>
    <xf numFmtId="43" fontId="8" fillId="0" borderId="0" xfId="81" applyNumberFormat="1" applyFont="1">
      <alignment/>
      <protection/>
    </xf>
    <xf numFmtId="5" fontId="8" fillId="0" borderId="0" xfId="46" applyNumberFormat="1" applyFont="1" applyFill="1" applyBorder="1" applyAlignment="1">
      <alignment horizontal="right"/>
    </xf>
    <xf numFmtId="7" fontId="7" fillId="0" borderId="0" xfId="50" applyNumberFormat="1" applyFont="1" applyFill="1" applyBorder="1" applyAlignment="1">
      <alignment horizontal="left"/>
    </xf>
    <xf numFmtId="5" fontId="7" fillId="0" borderId="0" xfId="46" applyNumberFormat="1" applyFont="1" applyFill="1" applyBorder="1" applyAlignment="1">
      <alignment horizontal="right"/>
    </xf>
    <xf numFmtId="7" fontId="8" fillId="0" borderId="0" xfId="50" applyNumberFormat="1" applyFont="1" applyFill="1" applyBorder="1" applyAlignment="1">
      <alignment horizontal="right" wrapText="1"/>
    </xf>
    <xf numFmtId="164" fontId="8" fillId="0" borderId="0" xfId="81" applyNumberFormat="1" applyFont="1">
      <alignment/>
      <protection/>
    </xf>
    <xf numFmtId="5" fontId="8" fillId="0" borderId="0" xfId="81" applyNumberFormat="1" applyFont="1">
      <alignment/>
      <protection/>
    </xf>
    <xf numFmtId="38" fontId="7" fillId="0" borderId="0" xfId="46" applyNumberFormat="1" applyFont="1" applyFill="1" applyBorder="1" applyAlignment="1">
      <alignment horizontal="right"/>
    </xf>
    <xf numFmtId="7" fontId="8" fillId="0" borderId="0" xfId="50" applyNumberFormat="1" applyFont="1" applyFill="1" applyBorder="1" applyAlignment="1">
      <alignment horizontal="left"/>
    </xf>
    <xf numFmtId="7" fontId="18" fillId="0" borderId="0" xfId="50" applyNumberFormat="1" applyFont="1" applyFill="1" applyBorder="1" applyAlignment="1">
      <alignment horizontal="left" wrapText="1"/>
    </xf>
    <xf numFmtId="164" fontId="7" fillId="0" borderId="10" xfId="46" applyNumberFormat="1" applyFont="1" applyFill="1" applyBorder="1" applyAlignment="1">
      <alignment horizontal="right"/>
    </xf>
    <xf numFmtId="7" fontId="7" fillId="0" borderId="0" xfId="50" applyNumberFormat="1" applyFont="1" applyFill="1" applyBorder="1" applyAlignment="1">
      <alignment horizontal="center" wrapText="1"/>
    </xf>
    <xf numFmtId="5" fontId="7" fillId="0" borderId="11" xfId="46" applyNumberFormat="1" applyFont="1" applyFill="1" applyBorder="1" applyAlignment="1">
      <alignment horizontal="right"/>
    </xf>
    <xf numFmtId="164" fontId="7" fillId="0" borderId="0" xfId="46" applyNumberFormat="1" applyFont="1" applyFill="1" applyBorder="1" applyAlignment="1">
      <alignment horizontal="right"/>
    </xf>
    <xf numFmtId="43" fontId="8" fillId="0" borderId="0" xfId="46" applyNumberFormat="1" applyFont="1" applyFill="1" applyBorder="1" applyAlignment="1">
      <alignment horizontal="right"/>
    </xf>
    <xf numFmtId="164" fontId="8" fillId="0" borderId="11" xfId="46" applyNumberFormat="1" applyFont="1" applyFill="1" applyBorder="1" applyAlignment="1">
      <alignment horizontal="right"/>
    </xf>
    <xf numFmtId="164" fontId="8" fillId="0" borderId="0" xfId="46" applyNumberFormat="1" applyFont="1" applyBorder="1" applyAlignment="1">
      <alignment horizontal="right"/>
    </xf>
    <xf numFmtId="38" fontId="8" fillId="0" borderId="0" xfId="81" applyNumberFormat="1" applyFont="1">
      <alignment/>
      <protection/>
    </xf>
    <xf numFmtId="164" fontId="8" fillId="0" borderId="0" xfId="46" applyNumberFormat="1" applyFont="1" applyFill="1" applyBorder="1" applyAlignment="1">
      <alignment horizontal="right"/>
    </xf>
    <xf numFmtId="165" fontId="8" fillId="0" borderId="0" xfId="81" applyNumberFormat="1" applyFont="1" applyBorder="1" applyAlignment="1">
      <alignment horizontal="center"/>
      <protection/>
    </xf>
    <xf numFmtId="5" fontId="8" fillId="0" borderId="0" xfId="46" applyNumberFormat="1" applyFont="1" applyBorder="1" applyAlignment="1">
      <alignment horizontal="right"/>
    </xf>
    <xf numFmtId="5" fontId="7" fillId="0" borderId="12" xfId="46" applyNumberFormat="1" applyFont="1" applyFill="1" applyBorder="1" applyAlignment="1">
      <alignment horizontal="right"/>
    </xf>
    <xf numFmtId="164" fontId="8" fillId="0" borderId="13" xfId="46" applyNumberFormat="1" applyFont="1" applyFill="1" applyBorder="1" applyAlignment="1">
      <alignment horizontal="right"/>
    </xf>
    <xf numFmtId="164" fontId="7" fillId="0" borderId="13" xfId="46" applyNumberFormat="1" applyFont="1" applyFill="1" applyBorder="1" applyAlignment="1">
      <alignment horizontal="right"/>
    </xf>
    <xf numFmtId="43" fontId="7" fillId="0" borderId="13" xfId="46" applyFont="1" applyFill="1" applyBorder="1" applyAlignment="1">
      <alignment horizontal="right"/>
    </xf>
    <xf numFmtId="5" fontId="8" fillId="0" borderId="13" xfId="46" applyNumberFormat="1" applyFont="1" applyFill="1" applyBorder="1" applyAlignment="1">
      <alignment horizontal="right"/>
    </xf>
    <xf numFmtId="5" fontId="8" fillId="0" borderId="14" xfId="46" applyNumberFormat="1" applyFont="1" applyFill="1" applyBorder="1" applyAlignment="1">
      <alignment horizontal="right"/>
    </xf>
    <xf numFmtId="7" fontId="18" fillId="0" borderId="0" xfId="81" applyNumberFormat="1" applyFont="1" applyFill="1" applyBorder="1" applyAlignment="1">
      <alignment horizontal="left" wrapText="1"/>
      <protection/>
    </xf>
    <xf numFmtId="5" fontId="15" fillId="33" borderId="0" xfId="46" applyNumberFormat="1" applyFont="1" applyFill="1" applyBorder="1" applyAlignment="1">
      <alignment horizontal="center" wrapText="1"/>
    </xf>
    <xf numFmtId="7" fontId="8" fillId="0" borderId="0" xfId="81" applyNumberFormat="1" applyFont="1" applyFill="1" applyBorder="1">
      <alignment/>
      <protection/>
    </xf>
    <xf numFmtId="0" fontId="19" fillId="0" borderId="0" xfId="81" applyFont="1">
      <alignment/>
      <protection/>
    </xf>
    <xf numFmtId="7" fontId="19" fillId="0" borderId="0" xfId="81" applyNumberFormat="1" applyFont="1" applyFill="1" applyBorder="1" applyAlignment="1" quotePrefix="1">
      <alignment horizontal="center"/>
      <protection/>
    </xf>
    <xf numFmtId="0" fontId="69" fillId="0" borderId="0" xfId="81" applyFont="1" applyAlignment="1">
      <alignment horizontal="center"/>
      <protection/>
    </xf>
    <xf numFmtId="0" fontId="21" fillId="0" borderId="0" xfId="81" applyFont="1">
      <alignment/>
      <protection/>
    </xf>
    <xf numFmtId="0" fontId="8" fillId="0" borderId="0" xfId="81" applyFont="1" applyBorder="1">
      <alignment/>
      <protection/>
    </xf>
    <xf numFmtId="164" fontId="8" fillId="0" borderId="0" xfId="46" applyNumberFormat="1" applyFont="1" applyBorder="1" applyAlignment="1">
      <alignment/>
    </xf>
    <xf numFmtId="0" fontId="23" fillId="0" borderId="0" xfId="81" applyFont="1" applyBorder="1">
      <alignment/>
      <protection/>
    </xf>
    <xf numFmtId="6" fontId="7" fillId="0" borderId="15" xfId="46" applyNumberFormat="1" applyFont="1" applyBorder="1" applyAlignment="1">
      <alignment/>
    </xf>
    <xf numFmtId="7" fontId="8" fillId="0" borderId="0" xfId="46" applyNumberFormat="1" applyFont="1" applyBorder="1" applyAlignment="1">
      <alignment/>
    </xf>
    <xf numFmtId="7" fontId="7" fillId="0" borderId="0" xfId="81" applyNumberFormat="1" applyFont="1" applyBorder="1">
      <alignment/>
      <protection/>
    </xf>
    <xf numFmtId="7" fontId="8" fillId="0" borderId="16" xfId="46" applyNumberFormat="1" applyFont="1" applyBorder="1" applyAlignment="1">
      <alignment/>
    </xf>
    <xf numFmtId="7" fontId="8" fillId="0" borderId="0" xfId="81" applyNumberFormat="1" applyFont="1" applyBorder="1">
      <alignment/>
      <protection/>
    </xf>
    <xf numFmtId="164" fontId="8" fillId="0" borderId="0" xfId="81" applyNumberFormat="1" applyFont="1" applyBorder="1">
      <alignment/>
      <protection/>
    </xf>
    <xf numFmtId="38" fontId="8" fillId="0" borderId="17" xfId="46" applyNumberFormat="1" applyFont="1" applyBorder="1" applyAlignment="1">
      <alignment/>
    </xf>
    <xf numFmtId="164" fontId="8" fillId="0" borderId="17" xfId="46" applyNumberFormat="1" applyFont="1" applyBorder="1" applyAlignment="1">
      <alignment/>
    </xf>
    <xf numFmtId="38" fontId="8" fillId="0" borderId="11" xfId="46" applyNumberFormat="1" applyFont="1" applyBorder="1" applyAlignment="1">
      <alignment/>
    </xf>
    <xf numFmtId="38" fontId="8" fillId="0" borderId="0" xfId="46" applyNumberFormat="1" applyFont="1" applyBorder="1" applyAlignment="1">
      <alignment/>
    </xf>
    <xf numFmtId="38" fontId="8" fillId="0" borderId="0" xfId="81" applyNumberFormat="1" applyFont="1" applyBorder="1">
      <alignment/>
      <protection/>
    </xf>
    <xf numFmtId="7" fontId="18" fillId="0" borderId="0" xfId="81" applyNumberFormat="1" applyFont="1" applyBorder="1">
      <alignment/>
      <protection/>
    </xf>
    <xf numFmtId="164" fontId="8" fillId="0" borderId="18" xfId="46" applyNumberFormat="1" applyFont="1" applyBorder="1" applyAlignment="1">
      <alignment/>
    </xf>
    <xf numFmtId="164" fontId="8" fillId="0" borderId="16" xfId="46" applyNumberFormat="1" applyFont="1" applyBorder="1" applyAlignment="1">
      <alignment/>
    </xf>
    <xf numFmtId="7" fontId="8" fillId="0" borderId="17" xfId="46" applyNumberFormat="1" applyFont="1" applyBorder="1" applyAlignment="1">
      <alignment/>
    </xf>
    <xf numFmtId="164" fontId="8" fillId="0" borderId="11" xfId="46" applyNumberFormat="1" applyFont="1" applyBorder="1" applyAlignment="1">
      <alignment/>
    </xf>
    <xf numFmtId="5" fontId="7" fillId="0" borderId="17" xfId="46" applyNumberFormat="1" applyFont="1" applyBorder="1" applyAlignment="1">
      <alignment/>
    </xf>
    <xf numFmtId="7" fontId="18" fillId="0" borderId="17" xfId="46" applyNumberFormat="1" applyFont="1" applyBorder="1" applyAlignment="1">
      <alignment/>
    </xf>
    <xf numFmtId="7" fontId="18" fillId="0" borderId="0" xfId="46" applyNumberFormat="1" applyFont="1" applyBorder="1" applyAlignment="1">
      <alignment/>
    </xf>
    <xf numFmtId="7" fontId="18" fillId="0" borderId="19" xfId="46" applyNumberFormat="1" applyFont="1" applyBorder="1" applyAlignment="1">
      <alignment/>
    </xf>
    <xf numFmtId="7" fontId="7" fillId="33" borderId="0" xfId="46" applyNumberFormat="1" applyFont="1" applyFill="1" applyBorder="1" applyAlignment="1">
      <alignment horizontal="centerContinuous"/>
    </xf>
    <xf numFmtId="7" fontId="7" fillId="33" borderId="11" xfId="46" applyNumberFormat="1" applyFont="1" applyFill="1" applyBorder="1" applyAlignment="1">
      <alignment horizontal="centerContinuous"/>
    </xf>
    <xf numFmtId="0" fontId="4" fillId="0" borderId="0" xfId="81" applyFont="1" applyBorder="1">
      <alignment/>
      <protection/>
    </xf>
    <xf numFmtId="7" fontId="4" fillId="0" borderId="0" xfId="46" applyNumberFormat="1" applyFont="1" applyBorder="1" applyAlignment="1">
      <alignment horizontal="centerContinuous"/>
    </xf>
    <xf numFmtId="7" fontId="5" fillId="0" borderId="0" xfId="81" applyNumberFormat="1" applyFont="1" applyBorder="1" applyAlignment="1">
      <alignment horizontal="centerContinuous"/>
      <protection/>
    </xf>
    <xf numFmtId="0" fontId="22" fillId="0" borderId="0" xfId="81" applyFont="1">
      <alignment/>
      <protection/>
    </xf>
    <xf numFmtId="0" fontId="7" fillId="0" borderId="0" xfId="81" applyFont="1" applyBorder="1">
      <alignment/>
      <protection/>
    </xf>
    <xf numFmtId="0" fontId="4" fillId="0" borderId="0" xfId="81" applyFont="1" applyFill="1" applyBorder="1">
      <alignment/>
      <protection/>
    </xf>
    <xf numFmtId="164" fontId="4" fillId="0" borderId="0" xfId="46" applyNumberFormat="1" applyFont="1" applyFill="1" applyBorder="1" applyAlignment="1">
      <alignment horizontal="right"/>
    </xf>
    <xf numFmtId="164" fontId="4" fillId="0" borderId="0" xfId="46" applyNumberFormat="1" applyFont="1" applyFill="1" applyBorder="1" applyAlignment="1">
      <alignment/>
    </xf>
    <xf numFmtId="164" fontId="4" fillId="0" borderId="0" xfId="81" applyNumberFormat="1" applyFont="1" applyFill="1" applyBorder="1">
      <alignment/>
      <protection/>
    </xf>
    <xf numFmtId="0" fontId="8" fillId="0" borderId="0" xfId="81" applyFont="1" applyFill="1" applyBorder="1">
      <alignment/>
      <protection/>
    </xf>
    <xf numFmtId="164" fontId="8" fillId="0" borderId="0" xfId="46" applyNumberFormat="1" applyFont="1" applyFill="1" applyBorder="1" applyAlignment="1">
      <alignment/>
    </xf>
    <xf numFmtId="164" fontId="8" fillId="0" borderId="0" xfId="81" applyNumberFormat="1" applyFont="1" applyFill="1" applyBorder="1">
      <alignment/>
      <protection/>
    </xf>
    <xf numFmtId="164" fontId="8" fillId="0" borderId="0" xfId="81" applyNumberFormat="1" applyFont="1" applyFill="1" applyBorder="1" applyAlignment="1">
      <alignment horizontal="left" wrapText="1"/>
      <protection/>
    </xf>
    <xf numFmtId="0" fontId="8" fillId="0" borderId="0" xfId="81" applyFont="1" applyFill="1" applyBorder="1" applyAlignment="1">
      <alignment horizontal="left" wrapText="1"/>
      <protection/>
    </xf>
    <xf numFmtId="43" fontId="8" fillId="0" borderId="0" xfId="81" applyNumberFormat="1" applyFont="1" applyFill="1" applyBorder="1">
      <alignment/>
      <protection/>
    </xf>
    <xf numFmtId="6" fontId="7" fillId="0" borderId="20" xfId="46" applyNumberFormat="1" applyFont="1" applyFill="1" applyBorder="1" applyAlignment="1">
      <alignment/>
    </xf>
    <xf numFmtId="43" fontId="7" fillId="0" borderId="0" xfId="81" applyNumberFormat="1" applyFont="1" applyFill="1" applyBorder="1">
      <alignment/>
      <protection/>
    </xf>
    <xf numFmtId="164" fontId="7" fillId="0" borderId="20" xfId="46" applyNumberFormat="1" applyFont="1" applyFill="1" applyBorder="1" applyAlignment="1">
      <alignment/>
    </xf>
    <xf numFmtId="164" fontId="8" fillId="0" borderId="10" xfId="46" applyNumberFormat="1" applyFont="1" applyFill="1" applyBorder="1" applyAlignment="1">
      <alignment/>
    </xf>
    <xf numFmtId="164" fontId="8" fillId="0" borderId="0" xfId="46" applyNumberFormat="1" applyFont="1" applyFill="1" applyBorder="1" applyAlignment="1">
      <alignment/>
    </xf>
    <xf numFmtId="164" fontId="7" fillId="0" borderId="0" xfId="46" applyNumberFormat="1" applyFont="1" applyFill="1" applyBorder="1" applyAlignment="1">
      <alignment/>
    </xf>
    <xf numFmtId="5" fontId="8" fillId="0" borderId="0" xfId="81" applyNumberFormat="1" applyFont="1" applyFill="1" applyBorder="1">
      <alignment/>
      <protection/>
    </xf>
    <xf numFmtId="164" fontId="18" fillId="0" borderId="0" xfId="46" applyNumberFormat="1" applyFont="1" applyFill="1" applyBorder="1" applyAlignment="1">
      <alignment/>
    </xf>
    <xf numFmtId="43" fontId="18" fillId="0" borderId="0" xfId="81" applyNumberFormat="1" applyFont="1" applyFill="1" applyBorder="1">
      <alignment/>
      <protection/>
    </xf>
    <xf numFmtId="164" fontId="7" fillId="0" borderId="10" xfId="46" applyNumberFormat="1" applyFont="1" applyFill="1" applyBorder="1" applyAlignment="1">
      <alignment/>
    </xf>
    <xf numFmtId="43" fontId="8" fillId="0" borderId="0" xfId="81" applyNumberFormat="1" applyFont="1" applyFill="1" applyBorder="1" applyAlignment="1">
      <alignment horizontal="left" wrapText="1"/>
      <protection/>
    </xf>
    <xf numFmtId="43" fontId="18" fillId="0" borderId="0" xfId="81" applyNumberFormat="1" applyFont="1" applyFill="1" applyBorder="1" applyAlignment="1">
      <alignment horizontal="left" wrapText="1"/>
      <protection/>
    </xf>
    <xf numFmtId="38" fontId="8" fillId="0" borderId="0" xfId="46" applyNumberFormat="1" applyFont="1" applyFill="1" applyBorder="1" applyAlignment="1">
      <alignment/>
    </xf>
    <xf numFmtId="164" fontId="18" fillId="0" borderId="0" xfId="46" applyNumberFormat="1" applyFont="1" applyFill="1" applyBorder="1" applyAlignment="1">
      <alignment wrapText="1"/>
    </xf>
    <xf numFmtId="164" fontId="18" fillId="0" borderId="0" xfId="46" applyNumberFormat="1" applyFont="1" applyFill="1" applyBorder="1" applyAlignment="1">
      <alignment horizontal="left" wrapText="1"/>
    </xf>
    <xf numFmtId="14" fontId="8" fillId="0" borderId="0" xfId="81" applyNumberFormat="1" applyFont="1" applyFill="1" applyBorder="1">
      <alignment/>
      <protection/>
    </xf>
    <xf numFmtId="43" fontId="8" fillId="0" borderId="0" xfId="81" applyNumberFormat="1" applyFont="1" applyFill="1" applyBorder="1" applyAlignment="1">
      <alignment horizontal="left"/>
      <protection/>
    </xf>
    <xf numFmtId="43" fontId="8" fillId="0" borderId="0" xfId="81" applyNumberFormat="1" applyFont="1" applyFill="1" applyBorder="1" applyAlignment="1">
      <alignment/>
      <protection/>
    </xf>
    <xf numFmtId="6" fontId="8" fillId="0" borderId="0" xfId="51" applyNumberFormat="1" applyFont="1" applyFill="1" applyBorder="1" applyAlignment="1">
      <alignment/>
    </xf>
    <xf numFmtId="164" fontId="18" fillId="0" borderId="0" xfId="81" applyNumberFormat="1" applyFont="1" applyFill="1" applyBorder="1" applyAlignment="1">
      <alignment horizontal="left" wrapText="1"/>
      <protection/>
    </xf>
    <xf numFmtId="0" fontId="7" fillId="0" borderId="0" xfId="81" applyFont="1" applyFill="1" applyBorder="1" applyAlignment="1">
      <alignment horizontal="left" wrapText="1"/>
      <protection/>
    </xf>
    <xf numFmtId="164" fontId="13" fillId="33" borderId="0" xfId="46" applyNumberFormat="1" applyFont="1" applyFill="1" applyBorder="1" applyAlignment="1">
      <alignment horizontal="center" wrapText="1"/>
    </xf>
    <xf numFmtId="164" fontId="13" fillId="33" borderId="0" xfId="46" applyNumberFormat="1" applyFont="1" applyFill="1" applyAlignment="1">
      <alignment horizontal="center" wrapText="1"/>
    </xf>
    <xf numFmtId="43" fontId="7" fillId="0" borderId="0" xfId="81" applyNumberFormat="1" applyFont="1" applyFill="1" applyBorder="1" applyAlignment="1">
      <alignment horizontal="left" wrapText="1"/>
      <protection/>
    </xf>
    <xf numFmtId="0" fontId="25" fillId="0" borderId="0" xfId="81" applyFont="1" applyFill="1" applyBorder="1">
      <alignment/>
      <protection/>
    </xf>
    <xf numFmtId="164" fontId="25" fillId="0" borderId="0" xfId="46" applyNumberFormat="1" applyFont="1" applyFill="1" applyBorder="1" applyAlignment="1">
      <alignment horizontal="centerContinuous"/>
    </xf>
    <xf numFmtId="164" fontId="25" fillId="0" borderId="0" xfId="46" applyNumberFormat="1" applyFont="1" applyBorder="1" applyAlignment="1">
      <alignment horizontal="centerContinuous"/>
    </xf>
    <xf numFmtId="164" fontId="22" fillId="0" borderId="0" xfId="46" applyNumberFormat="1" applyFont="1" applyFill="1" applyBorder="1" applyAlignment="1">
      <alignment horizontal="centerContinuous"/>
    </xf>
    <xf numFmtId="164" fontId="22" fillId="0" borderId="0" xfId="81" applyNumberFormat="1" applyFont="1" applyFill="1" applyBorder="1" applyAlignment="1">
      <alignment horizontal="centerContinuous"/>
      <protection/>
    </xf>
    <xf numFmtId="43" fontId="22" fillId="0" borderId="0" xfId="81" applyNumberFormat="1" applyFont="1" applyFill="1" applyBorder="1" applyAlignment="1">
      <alignment horizontal="centerContinuous"/>
      <protection/>
    </xf>
    <xf numFmtId="0" fontId="6" fillId="0" borderId="0" xfId="81" applyFont="1" applyFill="1" applyBorder="1">
      <alignment/>
      <protection/>
    </xf>
    <xf numFmtId="0" fontId="22" fillId="0" borderId="0" xfId="81" applyFont="1" applyAlignment="1">
      <alignment/>
      <protection/>
    </xf>
    <xf numFmtId="0" fontId="26" fillId="0" borderId="0" xfId="81" applyFont="1" applyFill="1" applyBorder="1">
      <alignment/>
      <protection/>
    </xf>
    <xf numFmtId="164" fontId="25" fillId="0" borderId="0" xfId="46" applyNumberFormat="1" applyFont="1" applyFill="1" applyBorder="1" applyAlignment="1">
      <alignment horizontal="center"/>
    </xf>
    <xf numFmtId="164" fontId="25" fillId="0" borderId="0" xfId="46" applyNumberFormat="1" applyFont="1" applyBorder="1" applyAlignment="1">
      <alignment horizontal="center"/>
    </xf>
    <xf numFmtId="164" fontId="22" fillId="0" borderId="0" xfId="46" applyNumberFormat="1" applyFont="1" applyFill="1" applyBorder="1" applyAlignment="1">
      <alignment horizontal="center"/>
    </xf>
    <xf numFmtId="164" fontId="22" fillId="0" borderId="0" xfId="81" applyNumberFormat="1" applyFont="1" applyFill="1" applyBorder="1" applyAlignment="1">
      <alignment horizontal="center"/>
      <protection/>
    </xf>
    <xf numFmtId="43" fontId="22" fillId="0" borderId="0" xfId="81" applyNumberFormat="1" applyFont="1" applyFill="1" applyBorder="1" applyAlignment="1">
      <alignment horizontal="center"/>
      <protection/>
    </xf>
    <xf numFmtId="164" fontId="4" fillId="0" borderId="0" xfId="46" applyNumberFormat="1" applyFont="1" applyBorder="1" applyAlignment="1">
      <alignment/>
    </xf>
    <xf numFmtId="43" fontId="4" fillId="0" borderId="0" xfId="46" applyNumberFormat="1" applyFont="1" applyBorder="1" applyAlignment="1">
      <alignment/>
    </xf>
    <xf numFmtId="0" fontId="4" fillId="0" borderId="0" xfId="81" applyFont="1" applyBorder="1" applyAlignment="1">
      <alignment wrapText="1"/>
      <protection/>
    </xf>
    <xf numFmtId="43" fontId="8" fillId="0" borderId="0" xfId="46" applyNumberFormat="1" applyFont="1" applyBorder="1" applyAlignment="1">
      <alignment/>
    </xf>
    <xf numFmtId="0" fontId="8" fillId="0" borderId="0" xfId="81" applyFont="1" applyBorder="1" applyAlignment="1">
      <alignment wrapText="1"/>
      <protection/>
    </xf>
    <xf numFmtId="0" fontId="8" fillId="0" borderId="0" xfId="81" applyFont="1" applyBorder="1" applyAlignment="1">
      <alignment horizontal="left" wrapText="1"/>
      <protection/>
    </xf>
    <xf numFmtId="43" fontId="8" fillId="0" borderId="0" xfId="46" applyNumberFormat="1" applyFont="1" applyBorder="1" applyAlignment="1">
      <alignment horizontal="right"/>
    </xf>
    <xf numFmtId="43" fontId="7" fillId="0" borderId="0" xfId="46" applyNumberFormat="1" applyFont="1" applyBorder="1" applyAlignment="1">
      <alignment horizontal="right"/>
    </xf>
    <xf numFmtId="43" fontId="8" fillId="0" borderId="0" xfId="46" applyNumberFormat="1" applyFont="1" applyBorder="1" applyAlignment="1">
      <alignment horizontal="left"/>
    </xf>
    <xf numFmtId="6" fontId="8" fillId="0" borderId="0" xfId="46" applyNumberFormat="1" applyFont="1" applyBorder="1" applyAlignment="1">
      <alignment horizontal="right"/>
    </xf>
    <xf numFmtId="43" fontId="8" fillId="0" borderId="0" xfId="81" applyNumberFormat="1" applyFont="1" applyBorder="1">
      <alignment/>
      <protection/>
    </xf>
    <xf numFmtId="6" fontId="8" fillId="0" borderId="0" xfId="81" applyNumberFormat="1" applyFont="1" applyBorder="1">
      <alignment/>
      <protection/>
    </xf>
    <xf numFmtId="6" fontId="7" fillId="0" borderId="16" xfId="46" applyNumberFormat="1" applyFont="1" applyFill="1" applyBorder="1" applyAlignment="1">
      <alignment horizontal="right"/>
    </xf>
    <xf numFmtId="164" fontId="8" fillId="0" borderId="11" xfId="46" applyNumberFormat="1" applyFont="1" applyBorder="1" applyAlignment="1">
      <alignment horizontal="right"/>
    </xf>
    <xf numFmtId="164" fontId="8" fillId="0" borderId="21" xfId="46" applyNumberFormat="1" applyFont="1" applyBorder="1" applyAlignment="1">
      <alignment horizontal="right"/>
    </xf>
    <xf numFmtId="43" fontId="7" fillId="0" borderId="21" xfId="81" applyNumberFormat="1" applyFont="1" applyBorder="1" applyAlignment="1">
      <alignment horizontal="center" wrapText="1"/>
      <protection/>
    </xf>
    <xf numFmtId="164" fontId="8" fillId="0" borderId="22" xfId="46" applyNumberFormat="1" applyFont="1" applyFill="1" applyBorder="1" applyAlignment="1">
      <alignment horizontal="right"/>
    </xf>
    <xf numFmtId="164" fontId="8" fillId="0" borderId="23" xfId="46" applyNumberFormat="1" applyFont="1" applyBorder="1" applyAlignment="1">
      <alignment horizontal="right"/>
    </xf>
    <xf numFmtId="43" fontId="8" fillId="0" borderId="23" xfId="81" applyNumberFormat="1" applyFont="1" applyBorder="1" applyAlignment="1">
      <alignment horizontal="left" wrapText="1"/>
      <protection/>
    </xf>
    <xf numFmtId="164" fontId="8" fillId="0" borderId="16" xfId="46" applyNumberFormat="1" applyFont="1" applyFill="1" applyBorder="1" applyAlignment="1">
      <alignment horizontal="right"/>
    </xf>
    <xf numFmtId="43" fontId="7" fillId="0" borderId="23" xfId="81" applyNumberFormat="1" applyFont="1" applyBorder="1" applyAlignment="1">
      <alignment horizontal="center" wrapText="1"/>
      <protection/>
    </xf>
    <xf numFmtId="38" fontId="8" fillId="0" borderId="16" xfId="46" applyNumberFormat="1" applyFont="1" applyFill="1" applyBorder="1" applyAlignment="1">
      <alignment horizontal="right"/>
    </xf>
    <xf numFmtId="164" fontId="8" fillId="0" borderId="17" xfId="46" applyNumberFormat="1" applyFont="1" applyFill="1" applyBorder="1" applyAlignment="1">
      <alignment horizontal="right"/>
    </xf>
    <xf numFmtId="6" fontId="7" fillId="0" borderId="17" xfId="46" applyNumberFormat="1" applyFont="1" applyFill="1" applyBorder="1" applyAlignment="1">
      <alignment horizontal="right"/>
    </xf>
    <xf numFmtId="37" fontId="8" fillId="0" borderId="0" xfId="81" applyNumberFormat="1" applyFont="1" applyBorder="1">
      <alignment/>
      <protection/>
    </xf>
    <xf numFmtId="164" fontId="7" fillId="0" borderId="0" xfId="46" applyNumberFormat="1" applyFont="1" applyBorder="1" applyAlignment="1">
      <alignment/>
    </xf>
    <xf numFmtId="164" fontId="7" fillId="0" borderId="0" xfId="46" applyNumberFormat="1" applyFont="1" applyBorder="1" applyAlignment="1">
      <alignment horizontal="right"/>
    </xf>
    <xf numFmtId="164" fontId="28" fillId="0" borderId="23" xfId="46" applyNumberFormat="1" applyFont="1" applyBorder="1" applyAlignment="1">
      <alignment horizontal="right"/>
    </xf>
    <xf numFmtId="5" fontId="7" fillId="0" borderId="16" xfId="46" applyNumberFormat="1" applyFont="1" applyFill="1" applyBorder="1" applyAlignment="1">
      <alignment horizontal="right"/>
    </xf>
    <xf numFmtId="43" fontId="7" fillId="0" borderId="24" xfId="46" applyNumberFormat="1" applyFont="1" applyBorder="1" applyAlignment="1">
      <alignment horizontal="centerContinuous"/>
    </xf>
    <xf numFmtId="43" fontId="7" fillId="0" borderId="25" xfId="46" applyNumberFormat="1" applyFont="1" applyBorder="1" applyAlignment="1">
      <alignment horizontal="centerContinuous"/>
    </xf>
    <xf numFmtId="43" fontId="8" fillId="0" borderId="25" xfId="81" applyNumberFormat="1" applyFont="1" applyBorder="1" applyAlignment="1">
      <alignment horizontal="center" wrapText="1"/>
      <protection/>
    </xf>
    <xf numFmtId="43" fontId="7" fillId="33" borderId="16" xfId="46" applyNumberFormat="1" applyFont="1" applyFill="1" applyBorder="1" applyAlignment="1">
      <alignment horizontal="centerContinuous"/>
    </xf>
    <xf numFmtId="43" fontId="7" fillId="33" borderId="11" xfId="46" applyNumberFormat="1" applyFont="1" applyFill="1" applyBorder="1" applyAlignment="1">
      <alignment horizontal="centerContinuous"/>
    </xf>
    <xf numFmtId="43" fontId="7" fillId="33" borderId="21" xfId="46" applyNumberFormat="1" applyFont="1" applyFill="1" applyBorder="1" applyAlignment="1">
      <alignment horizontal="centerContinuous"/>
    </xf>
    <xf numFmtId="43" fontId="8" fillId="0" borderId="23" xfId="81" applyNumberFormat="1" applyFont="1" applyBorder="1" applyAlignment="1">
      <alignment horizontal="center" wrapText="1"/>
      <protection/>
    </xf>
    <xf numFmtId="43" fontId="8" fillId="33" borderId="19" xfId="46" applyNumberFormat="1" applyFont="1" applyFill="1" applyBorder="1" applyAlignment="1">
      <alignment horizontal="centerContinuous"/>
    </xf>
    <xf numFmtId="14" fontId="7" fillId="33" borderId="24" xfId="46" applyNumberFormat="1" applyFont="1" applyFill="1" applyBorder="1" applyAlignment="1" quotePrefix="1">
      <alignment horizontal="centerContinuous" wrapText="1"/>
    </xf>
    <xf numFmtId="43" fontId="7" fillId="33" borderId="25" xfId="46" applyNumberFormat="1" applyFont="1" applyFill="1" applyBorder="1" applyAlignment="1" quotePrefix="1">
      <alignment horizontal="centerContinuous"/>
    </xf>
    <xf numFmtId="43" fontId="8" fillId="0" borderId="17" xfId="46" applyNumberFormat="1" applyFont="1" applyBorder="1" applyAlignment="1">
      <alignment horizontal="centerContinuous"/>
    </xf>
    <xf numFmtId="43" fontId="8" fillId="0" borderId="0" xfId="46" applyNumberFormat="1" applyFont="1" applyBorder="1" applyAlignment="1">
      <alignment horizontal="centerContinuous"/>
    </xf>
    <xf numFmtId="43" fontId="8" fillId="0" borderId="23" xfId="81" applyNumberFormat="1" applyFont="1" applyBorder="1" applyAlignment="1" quotePrefix="1">
      <alignment wrapText="1"/>
      <protection/>
    </xf>
    <xf numFmtId="0" fontId="6" fillId="0" borderId="0" xfId="81" applyFont="1" applyBorder="1">
      <alignment/>
      <protection/>
    </xf>
    <xf numFmtId="164" fontId="6" fillId="0" borderId="0" xfId="46" applyNumberFormat="1" applyFont="1" applyBorder="1" applyAlignment="1">
      <alignment/>
    </xf>
    <xf numFmtId="43" fontId="22" fillId="0" borderId="23" xfId="81" applyNumberFormat="1" applyFont="1" applyBorder="1" applyAlignment="1">
      <alignment horizontal="centerContinuous"/>
      <protection/>
    </xf>
    <xf numFmtId="0" fontId="29" fillId="0" borderId="0" xfId="81" applyFont="1" applyBorder="1">
      <alignment/>
      <protection/>
    </xf>
    <xf numFmtId="164" fontId="29" fillId="0" borderId="0" xfId="46" applyNumberFormat="1" applyFont="1" applyBorder="1" applyAlignment="1">
      <alignment/>
    </xf>
    <xf numFmtId="0" fontId="6" fillId="0" borderId="0" xfId="81" applyFont="1">
      <alignment/>
      <protection/>
    </xf>
    <xf numFmtId="164" fontId="6" fillId="0" borderId="0" xfId="46" applyNumberFormat="1" applyFont="1" applyAlignment="1">
      <alignment/>
    </xf>
    <xf numFmtId="164" fontId="8" fillId="0" borderId="0" xfId="46" applyNumberFormat="1" applyFont="1" applyAlignment="1">
      <alignment/>
    </xf>
    <xf numFmtId="6" fontId="7" fillId="0" borderId="20" xfId="46" applyNumberFormat="1" applyFont="1" applyFill="1" applyBorder="1" applyAlignment="1">
      <alignment horizontal="right"/>
    </xf>
    <xf numFmtId="7" fontId="7" fillId="0" borderId="0" xfId="81" applyNumberFormat="1" applyFont="1" applyFill="1" applyAlignment="1">
      <alignment horizontal="center"/>
      <protection/>
    </xf>
    <xf numFmtId="164" fontId="7" fillId="0" borderId="0" xfId="46" applyNumberFormat="1" applyFont="1" applyAlignment="1">
      <alignment/>
    </xf>
    <xf numFmtId="7" fontId="8" fillId="0" borderId="0" xfId="81" applyNumberFormat="1" applyFont="1" applyFill="1" applyBorder="1" applyAlignment="1">
      <alignment horizontal="left"/>
      <protection/>
    </xf>
    <xf numFmtId="164" fontId="8" fillId="0" borderId="0" xfId="46" applyNumberFormat="1" applyFont="1" applyFill="1" applyAlignment="1">
      <alignment horizontal="right"/>
    </xf>
    <xf numFmtId="7" fontId="8" fillId="0" borderId="0" xfId="81" applyNumberFormat="1" applyFont="1" applyFill="1">
      <alignment/>
      <protection/>
    </xf>
    <xf numFmtId="7" fontId="7" fillId="0" borderId="0" xfId="81" applyNumberFormat="1" applyFont="1" applyFill="1" applyAlignment="1">
      <alignment horizontal="center" wrapText="1"/>
      <protection/>
    </xf>
    <xf numFmtId="38" fontId="30" fillId="0" borderId="0" xfId="81" applyNumberFormat="1" applyFont="1">
      <alignment/>
      <protection/>
    </xf>
    <xf numFmtId="164" fontId="30" fillId="0" borderId="0" xfId="46" applyNumberFormat="1" applyFont="1" applyAlignment="1">
      <alignment/>
    </xf>
    <xf numFmtId="7" fontId="30" fillId="0" borderId="0" xfId="81" applyNumberFormat="1" applyFont="1" applyFill="1">
      <alignment/>
      <protection/>
    </xf>
    <xf numFmtId="164" fontId="7" fillId="0" borderId="20" xfId="46" applyNumberFormat="1" applyFont="1" applyBorder="1" applyAlignment="1">
      <alignment horizontal="right"/>
    </xf>
    <xf numFmtId="164" fontId="8" fillId="0" borderId="10" xfId="46" applyNumberFormat="1" applyFont="1" applyFill="1" applyBorder="1" applyAlignment="1">
      <alignment horizontal="right"/>
    </xf>
    <xf numFmtId="164" fontId="30" fillId="0" borderId="0" xfId="46" applyNumberFormat="1" applyFont="1" applyFill="1" applyAlignment="1">
      <alignment horizontal="right"/>
    </xf>
    <xf numFmtId="164" fontId="7" fillId="0" borderId="20" xfId="46" applyNumberFormat="1" applyFont="1" applyBorder="1" applyAlignment="1">
      <alignment/>
    </xf>
    <xf numFmtId="43" fontId="7" fillId="0" borderId="10" xfId="46" applyNumberFormat="1" applyFont="1" applyBorder="1" applyAlignment="1">
      <alignment/>
    </xf>
    <xf numFmtId="43" fontId="7" fillId="0" borderId="0" xfId="46" applyNumberFormat="1" applyFont="1" applyAlignment="1">
      <alignment/>
    </xf>
    <xf numFmtId="38" fontId="8" fillId="0" borderId="0" xfId="46" applyNumberFormat="1" applyFont="1" applyAlignment="1">
      <alignment/>
    </xf>
    <xf numFmtId="164" fontId="8" fillId="0" borderId="0" xfId="46" applyNumberFormat="1" applyFont="1" applyAlignment="1">
      <alignment/>
    </xf>
    <xf numFmtId="0" fontId="7" fillId="0" borderId="0" xfId="81" applyFont="1" applyAlignment="1">
      <alignment horizontal="left" wrapText="1"/>
      <protection/>
    </xf>
    <xf numFmtId="7" fontId="8" fillId="0" borderId="0" xfId="46" applyNumberFormat="1" applyFont="1" applyFill="1" applyAlignment="1">
      <alignment/>
    </xf>
    <xf numFmtId="7" fontId="7" fillId="0" borderId="0" xfId="81" applyNumberFormat="1" applyFont="1" applyFill="1" applyAlignment="1">
      <alignment horizontal="left" wrapText="1"/>
      <protection/>
    </xf>
    <xf numFmtId="7" fontId="15" fillId="33" borderId="0" xfId="46" applyNumberFormat="1" applyFont="1" applyFill="1" applyAlignment="1">
      <alignment horizontal="center" wrapText="1"/>
    </xf>
    <xf numFmtId="164" fontId="15" fillId="33" borderId="0" xfId="46" applyNumberFormat="1" applyFont="1" applyFill="1" applyAlignment="1">
      <alignment horizontal="centerContinuous" wrapText="1"/>
    </xf>
    <xf numFmtId="7" fontId="6" fillId="0" borderId="0" xfId="46" applyNumberFormat="1" applyFont="1" applyFill="1" applyAlignment="1">
      <alignment horizontal="centerContinuous"/>
    </xf>
    <xf numFmtId="7" fontId="6" fillId="0" borderId="0" xfId="81" applyNumberFormat="1" applyFont="1" applyFill="1" applyAlignment="1">
      <alignment horizontal="centerContinuous"/>
      <protection/>
    </xf>
    <xf numFmtId="7" fontId="6" fillId="0" borderId="0" xfId="46" applyNumberFormat="1" applyFont="1" applyAlignment="1">
      <alignment horizontal="centerContinuous"/>
    </xf>
    <xf numFmtId="7" fontId="5" fillId="0" borderId="0" xfId="46" applyNumberFormat="1" applyFont="1" applyFill="1" applyAlignment="1">
      <alignment horizontal="centerContinuous"/>
    </xf>
    <xf numFmtId="7" fontId="5" fillId="0" borderId="0" xfId="81" applyNumberFormat="1" applyFont="1" applyFill="1" applyAlignment="1">
      <alignment horizontal="centerContinuous"/>
      <protection/>
    </xf>
    <xf numFmtId="0" fontId="31" fillId="0" borderId="0" xfId="81" applyFont="1">
      <alignment/>
      <protection/>
    </xf>
    <xf numFmtId="7" fontId="8" fillId="0" borderId="0" xfId="46" applyNumberFormat="1" applyFont="1" applyAlignment="1">
      <alignment horizontal="centerContinuous"/>
    </xf>
    <xf numFmtId="7" fontId="4" fillId="0" borderId="0" xfId="46" applyNumberFormat="1" applyFont="1" applyAlignment="1">
      <alignment horizontal="centerContinuous"/>
    </xf>
    <xf numFmtId="7" fontId="22" fillId="0" borderId="0" xfId="81" applyNumberFormat="1" applyFont="1" applyFill="1" applyAlignment="1">
      <alignment horizontal="centerContinuous"/>
      <protection/>
    </xf>
    <xf numFmtId="0" fontId="32" fillId="0" borderId="0" xfId="81" applyFont="1">
      <alignment/>
      <protection/>
    </xf>
    <xf numFmtId="7" fontId="32" fillId="0" borderId="0" xfId="46" applyNumberFormat="1" applyFont="1" applyAlignment="1">
      <alignment horizontal="centerContinuous"/>
    </xf>
    <xf numFmtId="7" fontId="27" fillId="0" borderId="0" xfId="46" applyNumberFormat="1" applyFont="1" applyFill="1" applyAlignment="1">
      <alignment horizontal="centerContinuous"/>
    </xf>
    <xf numFmtId="7" fontId="27" fillId="0" borderId="0" xfId="81" applyNumberFormat="1" applyFont="1" applyFill="1" applyAlignment="1">
      <alignment horizontal="centerContinuous"/>
      <protection/>
    </xf>
    <xf numFmtId="0" fontId="23" fillId="0" borderId="0" xfId="81" applyFont="1">
      <alignment/>
      <protection/>
    </xf>
    <xf numFmtId="5" fontId="23" fillId="0" borderId="0" xfId="81" applyNumberFormat="1" applyFont="1" applyBorder="1" applyAlignment="1">
      <alignment horizontal="center"/>
      <protection/>
    </xf>
    <xf numFmtId="0" fontId="33" fillId="0" borderId="0" xfId="81" applyFont="1" applyAlignment="1">
      <alignment horizontal="right"/>
      <protection/>
    </xf>
    <xf numFmtId="5" fontId="23" fillId="0" borderId="0" xfId="81" applyNumberFormat="1" applyFont="1" applyBorder="1">
      <alignment/>
      <protection/>
    </xf>
    <xf numFmtId="38" fontId="6" fillId="0" borderId="0" xfId="81" applyNumberFormat="1" applyFont="1">
      <alignment/>
      <protection/>
    </xf>
    <xf numFmtId="5" fontId="23" fillId="0" borderId="0" xfId="81" applyNumberFormat="1" applyFont="1" applyAlignment="1">
      <alignment horizontal="center"/>
      <protection/>
    </xf>
    <xf numFmtId="38" fontId="23" fillId="0" borderId="0" xfId="81" applyNumberFormat="1" applyFont="1" applyAlignment="1">
      <alignment horizontal="right"/>
      <protection/>
    </xf>
    <xf numFmtId="5" fontId="33" fillId="0" borderId="0" xfId="81" applyNumberFormat="1" applyFont="1" applyAlignment="1">
      <alignment horizontal="left"/>
      <protection/>
    </xf>
    <xf numFmtId="38" fontId="23" fillId="0" borderId="0" xfId="81" applyNumberFormat="1" applyFont="1">
      <alignment/>
      <protection/>
    </xf>
    <xf numFmtId="0" fontId="34" fillId="0" borderId="0" xfId="81" applyFont="1" applyAlignment="1">
      <alignment horizontal="center"/>
      <protection/>
    </xf>
    <xf numFmtId="0" fontId="34" fillId="0" borderId="0" xfId="81" applyFont="1" applyAlignment="1">
      <alignment horizontal="right"/>
      <protection/>
    </xf>
    <xf numFmtId="0" fontId="34" fillId="0" borderId="0" xfId="81" applyFont="1" applyBorder="1" applyAlignment="1">
      <alignment horizontal="right"/>
      <protection/>
    </xf>
    <xf numFmtId="0" fontId="23" fillId="0" borderId="0" xfId="81" applyFont="1" applyAlignment="1">
      <alignment horizontal="center"/>
      <protection/>
    </xf>
    <xf numFmtId="43" fontId="7" fillId="0" borderId="0" xfId="46" applyFont="1" applyFill="1" applyBorder="1" applyAlignment="1">
      <alignment horizontal="right"/>
    </xf>
    <xf numFmtId="166" fontId="8" fillId="0" borderId="0" xfId="46" applyNumberFormat="1" applyFont="1" applyBorder="1" applyAlignment="1">
      <alignment/>
    </xf>
    <xf numFmtId="166" fontId="6" fillId="0" borderId="0" xfId="46" applyNumberFormat="1" applyFont="1" applyAlignment="1">
      <alignment/>
    </xf>
    <xf numFmtId="43" fontId="7" fillId="0" borderId="0" xfId="81" applyNumberFormat="1" applyFont="1" applyBorder="1" applyAlignment="1">
      <alignment horizontal="left"/>
      <protection/>
    </xf>
    <xf numFmtId="166" fontId="5" fillId="0" borderId="0" xfId="46" applyNumberFormat="1" applyFont="1" applyAlignment="1">
      <alignment horizontal="left"/>
    </xf>
    <xf numFmtId="166" fontId="8" fillId="0" borderId="0" xfId="46" applyNumberFormat="1" applyFont="1" applyAlignment="1">
      <alignment/>
    </xf>
    <xf numFmtId="43" fontId="23" fillId="0" borderId="0" xfId="81" applyNumberFormat="1" applyFont="1" applyBorder="1">
      <alignment/>
      <protection/>
    </xf>
    <xf numFmtId="5" fontId="23" fillId="0" borderId="0" xfId="46" applyNumberFormat="1" applyFont="1" applyBorder="1" applyAlignment="1">
      <alignment/>
    </xf>
    <xf numFmtId="166" fontId="23" fillId="0" borderId="0" xfId="46" applyNumberFormat="1" applyFont="1" applyBorder="1" applyAlignment="1">
      <alignment/>
    </xf>
    <xf numFmtId="166" fontId="23" fillId="0" borderId="0" xfId="46" applyNumberFormat="1" applyFont="1" applyAlignment="1">
      <alignment/>
    </xf>
    <xf numFmtId="166" fontId="23" fillId="0" borderId="0" xfId="46" applyNumberFormat="1" applyFont="1" applyAlignment="1">
      <alignment horizontal="left"/>
    </xf>
    <xf numFmtId="166" fontId="8" fillId="0" borderId="0" xfId="46" applyNumberFormat="1" applyFont="1" applyAlignment="1">
      <alignment/>
    </xf>
    <xf numFmtId="6" fontId="7" fillId="0" borderId="20" xfId="46" applyNumberFormat="1" applyFont="1" applyBorder="1" applyAlignment="1">
      <alignment/>
    </xf>
    <xf numFmtId="166" fontId="7" fillId="0" borderId="0" xfId="46" applyNumberFormat="1" applyFont="1" applyAlignment="1">
      <alignment horizontal="center"/>
    </xf>
    <xf numFmtId="166" fontId="8" fillId="0" borderId="0" xfId="46" applyNumberFormat="1" applyFont="1" applyAlignment="1">
      <alignment horizontal="left"/>
    </xf>
    <xf numFmtId="164" fontId="8" fillId="0" borderId="0" xfId="46" applyNumberFormat="1" applyFont="1" applyFill="1" applyAlignment="1">
      <alignment/>
    </xf>
    <xf numFmtId="166" fontId="7" fillId="0" borderId="0" xfId="46" applyNumberFormat="1" applyFont="1" applyAlignment="1">
      <alignment horizontal="left"/>
    </xf>
    <xf numFmtId="43" fontId="30" fillId="0" borderId="0" xfId="81" applyNumberFormat="1" applyFont="1" applyBorder="1">
      <alignment/>
      <protection/>
    </xf>
    <xf numFmtId="164" fontId="30" fillId="0" borderId="0" xfId="46" applyNumberFormat="1" applyFont="1" applyFill="1" applyAlignment="1">
      <alignment/>
    </xf>
    <xf numFmtId="164" fontId="8" fillId="0" borderId="0" xfId="46" applyNumberFormat="1" applyFont="1" applyBorder="1" applyAlignment="1">
      <alignment/>
    </xf>
    <xf numFmtId="164" fontId="7" fillId="0" borderId="20" xfId="46" applyNumberFormat="1" applyFont="1" applyBorder="1" applyAlignment="1">
      <alignment horizontal="center"/>
    </xf>
    <xf numFmtId="166" fontId="8" fillId="0" borderId="0" xfId="46" applyNumberFormat="1" applyFont="1" applyFill="1" applyAlignment="1">
      <alignment/>
    </xf>
    <xf numFmtId="43" fontId="25" fillId="0" borderId="0" xfId="81" applyNumberFormat="1" applyFont="1" applyBorder="1">
      <alignment/>
      <protection/>
    </xf>
    <xf numFmtId="166" fontId="6" fillId="0" borderId="0" xfId="46" applyNumberFormat="1" applyFont="1" applyAlignment="1">
      <alignment horizontal="centerContinuous"/>
    </xf>
    <xf numFmtId="166" fontId="7" fillId="0" borderId="0" xfId="46" applyNumberFormat="1" applyFont="1" applyFill="1" applyAlignment="1">
      <alignment horizontal="centerContinuous"/>
    </xf>
    <xf numFmtId="43" fontId="5" fillId="0" borderId="0" xfId="81" applyNumberFormat="1" applyFont="1" applyBorder="1">
      <alignment/>
      <protection/>
    </xf>
    <xf numFmtId="43" fontId="6" fillId="0" borderId="0" xfId="81" applyNumberFormat="1" applyFont="1" applyBorder="1">
      <alignment/>
      <protection/>
    </xf>
    <xf numFmtId="43" fontId="35" fillId="0" borderId="0" xfId="81" applyNumberFormat="1" applyFont="1" applyBorder="1">
      <alignment/>
      <protection/>
    </xf>
    <xf numFmtId="0" fontId="8" fillId="0" borderId="0" xfId="81" applyFont="1" applyBorder="1" applyAlignment="1">
      <alignment horizontal="right"/>
      <protection/>
    </xf>
    <xf numFmtId="164" fontId="8" fillId="0" borderId="0" xfId="81" applyNumberFormat="1" applyFont="1" applyBorder="1" applyAlignment="1">
      <alignment horizontal="right"/>
      <protection/>
    </xf>
    <xf numFmtId="6" fontId="7" fillId="0" borderId="20" xfId="46" applyNumberFormat="1" applyFont="1" applyBorder="1" applyAlignment="1">
      <alignment horizontal="right"/>
    </xf>
    <xf numFmtId="38" fontId="8" fillId="0" borderId="0" xfId="81" applyNumberFormat="1" applyFont="1" applyBorder="1" applyAlignment="1">
      <alignment horizontal="right"/>
      <protection/>
    </xf>
    <xf numFmtId="38" fontId="7" fillId="0" borderId="0" xfId="81" applyNumberFormat="1" applyFont="1" applyBorder="1" applyAlignment="1">
      <alignment horizontal="center" wrapText="1"/>
      <protection/>
    </xf>
    <xf numFmtId="38" fontId="30" fillId="0" borderId="0" xfId="81" applyNumberFormat="1" applyFont="1" applyBorder="1">
      <alignment/>
      <protection/>
    </xf>
    <xf numFmtId="38" fontId="30" fillId="0" borderId="0" xfId="81" applyNumberFormat="1" applyFont="1" applyBorder="1" applyAlignment="1">
      <alignment horizontal="right"/>
      <protection/>
    </xf>
    <xf numFmtId="164" fontId="30" fillId="0" borderId="0" xfId="46" applyNumberFormat="1" applyFont="1" applyBorder="1" applyAlignment="1">
      <alignment horizontal="right"/>
    </xf>
    <xf numFmtId="164" fontId="8" fillId="0" borderId="10" xfId="46" applyNumberFormat="1" applyFont="1" applyBorder="1" applyAlignment="1">
      <alignment horizontal="right"/>
    </xf>
    <xf numFmtId="38" fontId="7" fillId="0" borderId="0" xfId="81" applyNumberFormat="1" applyFont="1" applyBorder="1">
      <alignment/>
      <protection/>
    </xf>
    <xf numFmtId="164" fontId="28" fillId="0" borderId="0" xfId="46" applyNumberFormat="1" applyFont="1" applyBorder="1" applyAlignment="1">
      <alignment horizontal="right"/>
    </xf>
    <xf numFmtId="164" fontId="36" fillId="0" borderId="0" xfId="46" applyNumberFormat="1" applyFont="1" applyBorder="1" applyAlignment="1">
      <alignment horizontal="right"/>
    </xf>
    <xf numFmtId="164" fontId="7" fillId="0" borderId="10" xfId="46" applyNumberFormat="1" applyFont="1" applyBorder="1" applyAlignment="1">
      <alignment horizontal="right"/>
    </xf>
    <xf numFmtId="164" fontId="8" fillId="0" borderId="0" xfId="46" applyNumberFormat="1" applyFont="1" applyBorder="1" applyAlignment="1">
      <alignment horizontal="left" wrapText="1"/>
    </xf>
    <xf numFmtId="164" fontId="8" fillId="0" borderId="0" xfId="46" applyNumberFormat="1" applyFont="1" applyFill="1" applyAlignment="1">
      <alignment/>
    </xf>
    <xf numFmtId="0" fontId="7" fillId="0" borderId="0" xfId="81" applyFont="1" applyBorder="1" applyAlignment="1">
      <alignment horizontal="center" wrapText="1"/>
      <protection/>
    </xf>
    <xf numFmtId="164" fontId="15" fillId="33" borderId="0" xfId="46" applyNumberFormat="1" applyFont="1" applyFill="1" applyBorder="1" applyAlignment="1">
      <alignment horizontal="center" wrapText="1"/>
    </xf>
    <xf numFmtId="164" fontId="8" fillId="0" borderId="0" xfId="46" applyNumberFormat="1" applyFont="1" applyBorder="1" applyAlignment="1">
      <alignment horizontal="centerContinuous"/>
    </xf>
    <xf numFmtId="0" fontId="8" fillId="0" borderId="0" xfId="81" applyFont="1" applyBorder="1" applyAlignment="1">
      <alignment horizontal="centerContinuous"/>
      <protection/>
    </xf>
    <xf numFmtId="164" fontId="6" fillId="0" borderId="0" xfId="46" applyNumberFormat="1" applyFont="1" applyBorder="1" applyAlignment="1">
      <alignment horizontal="centerContinuous"/>
    </xf>
    <xf numFmtId="164" fontId="5" fillId="0" borderId="0" xfId="46" applyNumberFormat="1" applyFont="1" applyBorder="1" applyAlignment="1">
      <alignment horizontal="centerContinuous"/>
    </xf>
    <xf numFmtId="164" fontId="5" fillId="0" borderId="0" xfId="46" applyNumberFormat="1" applyFont="1" applyFill="1" applyAlignment="1">
      <alignment horizontal="centerContinuous"/>
    </xf>
    <xf numFmtId="0" fontId="5" fillId="0" borderId="0" xfId="81" applyFont="1" applyBorder="1" applyAlignment="1">
      <alignment horizontal="centerContinuous"/>
      <protection/>
    </xf>
    <xf numFmtId="164" fontId="22" fillId="0" borderId="0" xfId="46" applyNumberFormat="1" applyFont="1" applyFill="1" applyAlignment="1">
      <alignment horizontal="centerContinuous"/>
    </xf>
    <xf numFmtId="0" fontId="22" fillId="0" borderId="0" xfId="81" applyFont="1" applyFill="1" applyBorder="1" applyAlignment="1">
      <alignment horizontal="centerContinuous"/>
      <protection/>
    </xf>
    <xf numFmtId="0" fontId="32" fillId="0" borderId="0" xfId="81" applyFont="1" applyBorder="1">
      <alignment/>
      <protection/>
    </xf>
    <xf numFmtId="164" fontId="32" fillId="0" borderId="0" xfId="46" applyNumberFormat="1" applyFont="1" applyBorder="1" applyAlignment="1">
      <alignment/>
    </xf>
    <xf numFmtId="164" fontId="32" fillId="0" borderId="0" xfId="46" applyNumberFormat="1" applyFont="1" applyBorder="1" applyAlignment="1">
      <alignment horizontal="centerContinuous"/>
    </xf>
    <xf numFmtId="164" fontId="27" fillId="0" borderId="0" xfId="46" applyNumberFormat="1" applyFont="1" applyBorder="1" applyAlignment="1">
      <alignment horizontal="centerContinuous"/>
    </xf>
    <xf numFmtId="164" fontId="27" fillId="0" borderId="0" xfId="46" applyNumberFormat="1" applyFont="1" applyFill="1" applyAlignment="1">
      <alignment horizontal="centerContinuous"/>
    </xf>
    <xf numFmtId="0" fontId="27" fillId="0" borderId="0" xfId="81" applyFont="1" applyBorder="1" applyAlignment="1">
      <alignment horizontal="centerContinuous"/>
      <protection/>
    </xf>
    <xf numFmtId="41" fontId="8" fillId="0" borderId="17" xfId="46" applyNumberFormat="1" applyFont="1" applyBorder="1" applyAlignment="1">
      <alignment/>
    </xf>
    <xf numFmtId="41" fontId="8" fillId="0" borderId="0" xfId="46" applyNumberFormat="1" applyFont="1" applyBorder="1" applyAlignment="1">
      <alignment/>
    </xf>
    <xf numFmtId="0" fontId="8" fillId="0" borderId="0" xfId="0" applyFont="1" applyFill="1" applyBorder="1" applyAlignment="1">
      <alignment/>
    </xf>
    <xf numFmtId="164" fontId="8" fillId="0" borderId="0" xfId="47" applyNumberFormat="1" applyFont="1" applyFill="1" applyBorder="1" applyAlignment="1">
      <alignment horizontal="right"/>
    </xf>
    <xf numFmtId="164" fontId="7" fillId="0" borderId="0" xfId="47" applyNumberFormat="1" applyFont="1" applyFill="1" applyBorder="1" applyAlignment="1">
      <alignment/>
    </xf>
    <xf numFmtId="164" fontId="8" fillId="0" borderId="0" xfId="47" applyNumberFormat="1" applyFont="1" applyFill="1" applyBorder="1" applyAlignment="1">
      <alignment/>
    </xf>
    <xf numFmtId="43" fontId="8" fillId="0" borderId="0" xfId="46" applyFont="1" applyFill="1" applyBorder="1" applyAlignment="1">
      <alignment/>
    </xf>
    <xf numFmtId="164" fontId="8" fillId="0" borderId="0" xfId="0" applyNumberFormat="1" applyFont="1" applyFill="1" applyBorder="1" applyAlignment="1">
      <alignment/>
    </xf>
    <xf numFmtId="14" fontId="8" fillId="0" borderId="0" xfId="0" applyNumberFormat="1" applyFont="1" applyFill="1" applyBorder="1" applyAlignment="1">
      <alignment/>
    </xf>
    <xf numFmtId="0" fontId="8" fillId="0" borderId="0" xfId="0" applyFont="1" applyBorder="1" applyAlignment="1">
      <alignment/>
    </xf>
    <xf numFmtId="7" fontId="8" fillId="0" borderId="0" xfId="0" applyNumberFormat="1" applyFont="1" applyBorder="1" applyAlignment="1">
      <alignment/>
    </xf>
    <xf numFmtId="38" fontId="8" fillId="0" borderId="0" xfId="46" applyNumberFormat="1" applyFont="1" applyBorder="1" applyAlignment="1">
      <alignment horizontal="right"/>
    </xf>
    <xf numFmtId="38" fontId="8" fillId="0" borderId="10" xfId="46" applyNumberFormat="1" applyFont="1" applyFill="1" applyBorder="1" applyAlignment="1">
      <alignment horizontal="right"/>
    </xf>
    <xf numFmtId="38" fontId="8" fillId="0" borderId="0" xfId="46" applyNumberFormat="1" applyFont="1" applyFill="1" applyBorder="1" applyAlignment="1">
      <alignment horizontal="right"/>
    </xf>
    <xf numFmtId="43" fontId="7" fillId="0" borderId="20" xfId="46" applyNumberFormat="1" applyFont="1" applyBorder="1" applyAlignment="1">
      <alignment/>
    </xf>
    <xf numFmtId="38" fontId="8" fillId="0" borderId="11" xfId="46" applyNumberFormat="1" applyFont="1" applyBorder="1" applyAlignment="1">
      <alignment horizontal="right"/>
    </xf>
    <xf numFmtId="38" fontId="8" fillId="0" borderId="23" xfId="46" applyNumberFormat="1" applyFont="1" applyBorder="1" applyAlignment="1">
      <alignment horizontal="right"/>
    </xf>
    <xf numFmtId="38" fontId="8" fillId="0" borderId="17" xfId="46" applyNumberFormat="1" applyFont="1" applyFill="1" applyBorder="1" applyAlignment="1">
      <alignment horizontal="right"/>
    </xf>
    <xf numFmtId="38" fontId="8" fillId="0" borderId="26" xfId="46" applyNumberFormat="1" applyFont="1" applyBorder="1" applyAlignment="1">
      <alignment/>
    </xf>
    <xf numFmtId="43" fontId="7" fillId="0" borderId="0" xfId="46" applyNumberFormat="1" applyFont="1" applyBorder="1" applyAlignment="1">
      <alignment/>
    </xf>
    <xf numFmtId="164" fontId="7" fillId="0" borderId="13" xfId="47" applyNumberFormat="1" applyFont="1" applyFill="1" applyBorder="1" applyAlignment="1">
      <alignment horizontal="right"/>
    </xf>
    <xf numFmtId="164" fontId="8" fillId="0" borderId="13" xfId="47" applyNumberFormat="1" applyFont="1" applyFill="1" applyBorder="1" applyAlignment="1">
      <alignment horizontal="right"/>
    </xf>
    <xf numFmtId="6" fontId="7" fillId="0" borderId="20" xfId="51" applyNumberFormat="1" applyFont="1" applyFill="1" applyBorder="1" applyAlignment="1">
      <alignment horizontal="right"/>
    </xf>
    <xf numFmtId="43" fontId="8" fillId="0" borderId="23" xfId="0" applyNumberFormat="1" applyFont="1" applyBorder="1" applyAlignment="1">
      <alignment horizontal="left" wrapText="1"/>
    </xf>
    <xf numFmtId="38" fontId="8" fillId="0" borderId="10" xfId="46" applyNumberFormat="1" applyFont="1" applyFill="1" applyBorder="1" applyAlignment="1">
      <alignment/>
    </xf>
    <xf numFmtId="38" fontId="7" fillId="0" borderId="20" xfId="46" applyNumberFormat="1" applyFont="1" applyFill="1" applyBorder="1" applyAlignment="1">
      <alignment/>
    </xf>
    <xf numFmtId="0" fontId="18" fillId="0" borderId="0" xfId="0" applyFont="1" applyFill="1" applyAlignment="1">
      <alignment/>
    </xf>
    <xf numFmtId="167" fontId="8" fillId="0" borderId="0" xfId="0" applyNumberFormat="1" applyFont="1" applyFill="1" applyBorder="1" applyAlignment="1">
      <alignment horizontal="right"/>
    </xf>
    <xf numFmtId="43" fontId="8" fillId="0" borderId="0" xfId="46" applyFont="1" applyFill="1" applyBorder="1" applyAlignment="1">
      <alignment/>
    </xf>
    <xf numFmtId="164" fontId="8" fillId="0" borderId="0" xfId="0" applyNumberFormat="1" applyFont="1" applyFill="1" applyBorder="1" applyAlignment="1">
      <alignment/>
    </xf>
    <xf numFmtId="0" fontId="8" fillId="0" borderId="0" xfId="0" applyFont="1" applyFill="1" applyAlignment="1">
      <alignment horizontal="right"/>
    </xf>
    <xf numFmtId="0" fontId="8" fillId="0" borderId="0" xfId="0" applyFont="1" applyFill="1" applyAlignment="1">
      <alignment horizontal="right" wrapText="1"/>
    </xf>
    <xf numFmtId="0" fontId="8" fillId="0" borderId="0" xfId="0" applyFont="1" applyFill="1" applyAlignment="1">
      <alignment/>
    </xf>
    <xf numFmtId="164" fontId="7" fillId="0" borderId="0" xfId="0" applyNumberFormat="1" applyFont="1" applyFill="1" applyBorder="1" applyAlignment="1">
      <alignment/>
    </xf>
    <xf numFmtId="6" fontId="8" fillId="0" borderId="0" xfId="0" applyNumberFormat="1" applyFont="1" applyFill="1" applyAlignment="1">
      <alignment horizontal="right"/>
    </xf>
    <xf numFmtId="7" fontId="3" fillId="0" borderId="0" xfId="81" applyNumberFormat="1" applyFont="1" applyFill="1" applyBorder="1" applyAlignment="1">
      <alignment horizontal="center"/>
      <protection/>
    </xf>
    <xf numFmtId="7" fontId="5" fillId="0" borderId="0" xfId="81" applyNumberFormat="1" applyFont="1" applyFill="1" applyBorder="1" applyAlignment="1">
      <alignment horizontal="center"/>
      <protection/>
    </xf>
    <xf numFmtId="7" fontId="5" fillId="0" borderId="0" xfId="81" applyNumberFormat="1" applyFont="1" applyFill="1" applyBorder="1" applyAlignment="1" quotePrefix="1">
      <alignment horizontal="center"/>
      <protection/>
    </xf>
    <xf numFmtId="7" fontId="22" fillId="0" borderId="0" xfId="81" applyNumberFormat="1" applyFont="1" applyFill="1" applyBorder="1" applyAlignment="1">
      <alignment horizontal="center"/>
      <protection/>
    </xf>
    <xf numFmtId="7" fontId="5" fillId="0" borderId="0" xfId="81" applyNumberFormat="1" applyFont="1" applyBorder="1" applyAlignment="1">
      <alignment horizontal="center"/>
      <protection/>
    </xf>
    <xf numFmtId="7" fontId="5" fillId="0" borderId="0" xfId="81" applyNumberFormat="1" applyFont="1" applyBorder="1" applyAlignment="1" quotePrefix="1">
      <alignment horizontal="center"/>
      <protection/>
    </xf>
    <xf numFmtId="43" fontId="27" fillId="0" borderId="0" xfId="81" applyNumberFormat="1" applyFont="1" applyFill="1" applyBorder="1" applyAlignment="1">
      <alignment horizontal="center"/>
      <protection/>
    </xf>
    <xf numFmtId="43" fontId="22" fillId="0" borderId="0" xfId="81" applyNumberFormat="1" applyFont="1" applyFill="1" applyAlignment="1">
      <alignment horizontal="center"/>
      <protection/>
    </xf>
    <xf numFmtId="43" fontId="5" fillId="0" borderId="0" xfId="81" applyNumberFormat="1" applyFont="1" applyFill="1" applyBorder="1" applyAlignment="1">
      <alignment horizontal="center"/>
      <protection/>
    </xf>
    <xf numFmtId="43" fontId="5" fillId="0" borderId="23" xfId="81" applyNumberFormat="1" applyFont="1" applyBorder="1" applyAlignment="1">
      <alignment horizontal="center"/>
      <protection/>
    </xf>
    <xf numFmtId="43" fontId="5" fillId="0" borderId="0" xfId="81" applyNumberFormat="1" applyFont="1" applyBorder="1" applyAlignment="1">
      <alignment horizontal="center"/>
      <protection/>
    </xf>
    <xf numFmtId="43" fontId="5" fillId="0" borderId="17" xfId="81" applyNumberFormat="1" applyFont="1" applyBorder="1" applyAlignment="1">
      <alignment horizontal="center"/>
      <protection/>
    </xf>
    <xf numFmtId="43" fontId="3" fillId="0" borderId="25" xfId="81" applyNumberFormat="1" applyFont="1" applyBorder="1" applyAlignment="1">
      <alignment horizontal="center"/>
      <protection/>
    </xf>
    <xf numFmtId="43" fontId="3" fillId="0" borderId="24" xfId="81" applyNumberFormat="1" applyFont="1" applyBorder="1" applyAlignment="1">
      <alignment horizontal="center"/>
      <protection/>
    </xf>
    <xf numFmtId="43" fontId="3" fillId="0" borderId="19" xfId="81" applyNumberFormat="1" applyFont="1" applyBorder="1" applyAlignment="1">
      <alignment horizontal="center"/>
      <protection/>
    </xf>
    <xf numFmtId="43" fontId="22" fillId="0" borderId="23" xfId="81" applyNumberFormat="1" applyFont="1" applyFill="1" applyBorder="1" applyAlignment="1">
      <alignment horizontal="center"/>
      <protection/>
    </xf>
    <xf numFmtId="43" fontId="22" fillId="0" borderId="0" xfId="81" applyNumberFormat="1" applyFont="1" applyFill="1" applyBorder="1" applyAlignment="1">
      <alignment horizontal="center"/>
      <protection/>
    </xf>
    <xf numFmtId="43" fontId="22" fillId="0" borderId="17" xfId="81" applyNumberFormat="1" applyFont="1" applyFill="1" applyBorder="1" applyAlignment="1">
      <alignment horizontal="center"/>
      <protection/>
    </xf>
    <xf numFmtId="0" fontId="23" fillId="0" borderId="0" xfId="81" applyNumberFormat="1" applyFont="1" applyAlignment="1">
      <alignment horizontal="left" vertical="center" wrapText="1"/>
      <protection/>
    </xf>
    <xf numFmtId="0" fontId="23" fillId="0" borderId="0" xfId="81" applyNumberFormat="1" applyFont="1" applyAlignment="1">
      <alignment horizontal="center" vertical="center" wrapText="1"/>
      <protection/>
    </xf>
    <xf numFmtId="0" fontId="23" fillId="0" borderId="0" xfId="81" applyFont="1" applyAlignment="1">
      <alignment horizontal="left" vertical="center" wrapText="1"/>
      <protection/>
    </xf>
    <xf numFmtId="0" fontId="34" fillId="0" borderId="0" xfId="81" applyFont="1" applyAlignment="1">
      <alignment horizontal="center" vertical="center" wrapText="1"/>
      <protection/>
    </xf>
    <xf numFmtId="166" fontId="27" fillId="0" borderId="0" xfId="46" applyNumberFormat="1" applyFont="1" applyAlignment="1">
      <alignment horizontal="center"/>
    </xf>
    <xf numFmtId="166" fontId="5" fillId="0" borderId="0" xfId="46" applyNumberFormat="1" applyFont="1" applyAlignment="1">
      <alignment horizontal="center"/>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Currency [0] 2"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0" xfId="61"/>
    <cellStyle name="Normal 11" xfId="62"/>
    <cellStyle name="Normal 2" xfId="63"/>
    <cellStyle name="Normal 2 2" xfId="64"/>
    <cellStyle name="Normal 2 3" xfId="65"/>
    <cellStyle name="Normal 3" xfId="66"/>
    <cellStyle name="Normal 3 2" xfId="67"/>
    <cellStyle name="Normal 3 3" xfId="68"/>
    <cellStyle name="Normal 3 3 2" xfId="69"/>
    <cellStyle name="Normal 4" xfId="70"/>
    <cellStyle name="Normal 4 2" xfId="71"/>
    <cellStyle name="Normal 4 3" xfId="72"/>
    <cellStyle name="Normal 5" xfId="73"/>
    <cellStyle name="Normal 5 2" xfId="74"/>
    <cellStyle name="Normal 6" xfId="75"/>
    <cellStyle name="Normal 7" xfId="76"/>
    <cellStyle name="Normal 8" xfId="77"/>
    <cellStyle name="Normal 8 2" xfId="78"/>
    <cellStyle name="Normal 8 3" xfId="79"/>
    <cellStyle name="Normal 8 4" xfId="80"/>
    <cellStyle name="Normal 9" xfId="81"/>
    <cellStyle name="Note" xfId="82"/>
    <cellStyle name="Output" xfId="83"/>
    <cellStyle name="Percent" xfId="84"/>
    <cellStyle name="STYLE1" xfId="85"/>
    <cellStyle name="STYLE2" xfId="86"/>
    <cellStyle name="STYLE3" xfId="87"/>
    <cellStyle name="STYLE4" xfId="88"/>
    <cellStyle name="STYLE5" xfId="89"/>
    <cellStyle name="STYLE6" xfId="90"/>
    <cellStyle name="STYLE7"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276225</xdr:colOff>
      <xdr:row>3</xdr:row>
      <xdr:rowOff>57150</xdr:rowOff>
    </xdr:from>
    <xdr:ext cx="2552700" cy="733425"/>
    <xdr:sp>
      <xdr:nvSpPr>
        <xdr:cNvPr id="3" name="Rectangle 3"/>
        <xdr:cNvSpPr>
          <a:spLocks/>
        </xdr:cNvSpPr>
      </xdr:nvSpPr>
      <xdr:spPr>
        <a:xfrm>
          <a:off x="276225" y="819150"/>
          <a:ext cx="25527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jiua.org/Financials/xls/1Q2013F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server\users\aabrams\My%20Documents\EXCEL\Miscellaneous\2013%20Financial%20Statements\1Q13\1Q13%20Financial%20Statemen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Q13%20Flux%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Balance Sheet-1"/>
      <sheetName val="Income Statement-2"/>
      <sheetName val="Equity QTD-3"/>
      <sheetName val="Earned Incurred QTD-4"/>
      <sheetName val="Premiums QTD-5"/>
      <sheetName val="(6)Losses Incurred YTD-p1"/>
      <sheetName val="(6)Losses Incurred YTD10"/>
      <sheetName val="(4)Loss Expenses YTD12"/>
      <sheetName val="IBNR JE2"/>
      <sheetName val="(1)ULEP-YTD17"/>
      <sheetName val="Business Summary"/>
      <sheetName val="Losses Incurred QTD-6"/>
      <sheetName val="Loss Expenses QTD-7"/>
    </sheetNames>
    <sheetDataSet>
      <sheetData sheetId="7">
        <row r="38">
          <cell r="B38">
            <v>-487632</v>
          </cell>
        </row>
        <row r="39">
          <cell r="B39">
            <v>-563687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Balance Sheet-1"/>
      <sheetName val="Income Statement-2"/>
      <sheetName val="Equity QTD-3"/>
      <sheetName val="Earned Incurred QTD-4"/>
      <sheetName val="Premiums QTD-5"/>
      <sheetName val="(6)Losses Incurred YTD-p1"/>
      <sheetName val="(6)Losses Incurred YTD10"/>
      <sheetName val="(4)Loss Expenses YTD12"/>
      <sheetName val="IBNR JE2"/>
      <sheetName val="(1)ULEP-YTD17"/>
      <sheetName val="Business Summary"/>
      <sheetName val="Losses Incurred QTD-6"/>
      <sheetName val="Loss Expenses QTD-7"/>
    </sheetNames>
    <sheetDataSet>
      <sheetData sheetId="7">
        <row r="37">
          <cell r="B37">
            <v>9469467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Page 1"/>
      <sheetName val="Page 2"/>
      <sheetName val="Page 3"/>
      <sheetName val="Page 4"/>
      <sheetName val="Page 5"/>
      <sheetName val="Page 6"/>
      <sheetName val="2Q13 Trial Balance"/>
      <sheetName val="Unpaid Loss Reserves-13"/>
      <sheetName val="Unpaid Loss Expense Reserves-14"/>
      <sheetName val="Loss Expenses Paid QTD-15"/>
      <sheetName val="Loss Expenses Paid YTD-16"/>
      <sheetName val="(6)Losses Incurred YTD-p1"/>
      <sheetName val="(6)Losses Incurred YTD10"/>
      <sheetName val="(4)Loss Expenses YTD12"/>
      <sheetName val="IBNR JE2"/>
      <sheetName val="(1)ULEP-YTD17"/>
      <sheetName val="Business Summary"/>
    </sheetNames>
    <sheetDataSet>
      <sheetData sheetId="12">
        <row r="26">
          <cell r="F26">
            <v>6188022.85</v>
          </cell>
        </row>
        <row r="30">
          <cell r="F30">
            <v>847783.63</v>
          </cell>
        </row>
        <row r="34">
          <cell r="F34">
            <v>697510.7100000001</v>
          </cell>
        </row>
        <row r="38">
          <cell r="F38">
            <v>9990.1</v>
          </cell>
        </row>
        <row r="45">
          <cell r="F45">
            <v>157098.11</v>
          </cell>
        </row>
        <row r="53">
          <cell r="F53">
            <v>36848.07</v>
          </cell>
        </row>
        <row r="61">
          <cell r="E61">
            <v>-1015778.64</v>
          </cell>
        </row>
        <row r="62">
          <cell r="E62">
            <v>-335142.06</v>
          </cell>
        </row>
        <row r="63">
          <cell r="E63">
            <v>-3552.48</v>
          </cell>
        </row>
        <row r="65">
          <cell r="E65">
            <v>-3104902.73</v>
          </cell>
        </row>
        <row r="66">
          <cell r="E66">
            <v>-1029486.57</v>
          </cell>
        </row>
        <row r="67">
          <cell r="E67">
            <v>-14856.12</v>
          </cell>
        </row>
        <row r="69">
          <cell r="F69">
            <v>-5503718.600000001</v>
          </cell>
        </row>
        <row r="82">
          <cell r="F82">
            <v>-2389014.9899999998</v>
          </cell>
        </row>
        <row r="90">
          <cell r="F90">
            <v>-574261</v>
          </cell>
        </row>
        <row r="105">
          <cell r="F105">
            <v>-223372</v>
          </cell>
        </row>
        <row r="118">
          <cell r="F118">
            <v>-128752.88999999998</v>
          </cell>
        </row>
        <row r="124">
          <cell r="F124">
            <v>-240.91</v>
          </cell>
        </row>
        <row r="128">
          <cell r="F128">
            <v>-105539.04</v>
          </cell>
        </row>
        <row r="131">
          <cell r="F131">
            <v>-9986.17</v>
          </cell>
        </row>
        <row r="139">
          <cell r="F139">
            <v>-147430.66999999998</v>
          </cell>
        </row>
        <row r="168">
          <cell r="F168">
            <v>-388155.26</v>
          </cell>
        </row>
        <row r="171">
          <cell r="F171">
            <v>-5760656</v>
          </cell>
        </row>
        <row r="174">
          <cell r="F174">
            <v>-1450164</v>
          </cell>
        </row>
        <row r="177">
          <cell r="F177">
            <v>-368856.15</v>
          </cell>
        </row>
        <row r="183">
          <cell r="F183">
            <v>-94657.45</v>
          </cell>
        </row>
        <row r="189">
          <cell r="C189">
            <v>33112.02</v>
          </cell>
        </row>
        <row r="197">
          <cell r="C197">
            <v>62753.14</v>
          </cell>
        </row>
        <row r="207">
          <cell r="C207">
            <v>86</v>
          </cell>
          <cell r="E207">
            <v>86</v>
          </cell>
        </row>
        <row r="208">
          <cell r="C208">
            <v>19</v>
          </cell>
          <cell r="E208">
            <v>19</v>
          </cell>
        </row>
        <row r="210">
          <cell r="C210">
            <v>26734</v>
          </cell>
          <cell r="E210">
            <v>69196</v>
          </cell>
        </row>
        <row r="211">
          <cell r="C211">
            <v>8547</v>
          </cell>
          <cell r="E211">
            <v>23612</v>
          </cell>
        </row>
        <row r="212">
          <cell r="C212">
            <v>54</v>
          </cell>
          <cell r="E212">
            <v>322</v>
          </cell>
        </row>
        <row r="214">
          <cell r="C214">
            <v>-2116422</v>
          </cell>
          <cell r="E214">
            <v>-4123157</v>
          </cell>
        </row>
        <row r="215">
          <cell r="C215">
            <v>-728362</v>
          </cell>
          <cell r="E215">
            <v>-1355954</v>
          </cell>
        </row>
        <row r="216">
          <cell r="C216">
            <v>-11269</v>
          </cell>
          <cell r="E216">
            <v>-18477</v>
          </cell>
        </row>
        <row r="260">
          <cell r="D260">
            <v>-16648.17</v>
          </cell>
          <cell r="F260">
            <v>-24401.53</v>
          </cell>
        </row>
        <row r="267">
          <cell r="D267">
            <v>4254.61</v>
          </cell>
          <cell r="F267">
            <v>3920.65</v>
          </cell>
        </row>
        <row r="269">
          <cell r="C269">
            <v>-203.32</v>
          </cell>
          <cell r="E269">
            <v>-10538.23</v>
          </cell>
        </row>
        <row r="270">
          <cell r="C270">
            <v>-5116.45</v>
          </cell>
          <cell r="E270">
            <v>-10545.9</v>
          </cell>
        </row>
        <row r="271">
          <cell r="D271">
            <v>-5319.7699999999995</v>
          </cell>
          <cell r="F271">
            <v>-21084.129999999997</v>
          </cell>
        </row>
        <row r="284">
          <cell r="C284">
            <v>362.41</v>
          </cell>
          <cell r="E284">
            <v>0</v>
          </cell>
        </row>
        <row r="286">
          <cell r="C286">
            <v>-991.9</v>
          </cell>
          <cell r="E286">
            <v>-991.9</v>
          </cell>
        </row>
        <row r="287">
          <cell r="C287">
            <v>-4923</v>
          </cell>
          <cell r="E287">
            <v>-4993</v>
          </cell>
        </row>
        <row r="289">
          <cell r="C289">
            <v>-520.23</v>
          </cell>
          <cell r="E289">
            <v>-520.23</v>
          </cell>
        </row>
        <row r="291">
          <cell r="D291">
            <v>-6072.719999999999</v>
          </cell>
          <cell r="F291">
            <v>-6505.129999999999</v>
          </cell>
        </row>
        <row r="379">
          <cell r="D379">
            <v>-10.5</v>
          </cell>
          <cell r="F379">
            <v>-10.5</v>
          </cell>
        </row>
        <row r="383">
          <cell r="D383">
            <v>-3016.5000000000005</v>
          </cell>
          <cell r="F383">
            <v>-7929.9</v>
          </cell>
        </row>
        <row r="387">
          <cell r="D387">
            <v>250732.80000000002</v>
          </cell>
          <cell r="F387">
            <v>473115.60000000003</v>
          </cell>
        </row>
        <row r="389">
          <cell r="D389">
            <v>247705.80000000002</v>
          </cell>
          <cell r="F389">
            <v>465175.2</v>
          </cell>
        </row>
        <row r="392">
          <cell r="D392">
            <v>6696.92</v>
          </cell>
          <cell r="F392">
            <v>23872.94</v>
          </cell>
        </row>
        <row r="394">
          <cell r="D394">
            <v>4125</v>
          </cell>
          <cell r="F394">
            <v>8250</v>
          </cell>
        </row>
        <row r="398">
          <cell r="D398">
            <v>21046.7</v>
          </cell>
          <cell r="F398">
            <v>44624.19</v>
          </cell>
        </row>
        <row r="400">
          <cell r="D400">
            <v>31868.620000000003</v>
          </cell>
          <cell r="F400">
            <v>76747.13</v>
          </cell>
        </row>
        <row r="623">
          <cell r="D623">
            <v>1039469.4300000002</v>
          </cell>
          <cell r="F623">
            <v>2020936.9199999995</v>
          </cell>
        </row>
      </sheetData>
      <sheetData sheetId="13">
        <row r="9">
          <cell r="B9">
            <v>33600</v>
          </cell>
          <cell r="C9">
            <v>1844492.29</v>
          </cell>
          <cell r="D9">
            <v>57262.79</v>
          </cell>
          <cell r="E9">
            <v>0</v>
          </cell>
        </row>
        <row r="10">
          <cell r="B10">
            <v>30985.32</v>
          </cell>
          <cell r="C10">
            <v>364823.67</v>
          </cell>
          <cell r="D10">
            <v>57850.92</v>
          </cell>
          <cell r="E10">
            <v>0</v>
          </cell>
        </row>
        <row r="11">
          <cell r="B11">
            <v>0</v>
          </cell>
          <cell r="C11">
            <v>0</v>
          </cell>
          <cell r="D11">
            <v>0</v>
          </cell>
          <cell r="E11">
            <v>0</v>
          </cell>
        </row>
        <row r="16">
          <cell r="B16">
            <v>298754.69</v>
          </cell>
          <cell r="C16">
            <v>0</v>
          </cell>
          <cell r="D16">
            <v>0</v>
          </cell>
          <cell r="E16">
            <v>0</v>
          </cell>
        </row>
        <row r="17">
          <cell r="B17">
            <v>275506.31</v>
          </cell>
          <cell r="C17">
            <v>0</v>
          </cell>
          <cell r="D17">
            <v>0</v>
          </cell>
          <cell r="E17">
            <v>0</v>
          </cell>
        </row>
        <row r="18">
          <cell r="B18">
            <v>0</v>
          </cell>
          <cell r="C18">
            <v>0</v>
          </cell>
          <cell r="D18">
            <v>0</v>
          </cell>
          <cell r="E18">
            <v>0</v>
          </cell>
        </row>
      </sheetData>
      <sheetData sheetId="14">
        <row r="22">
          <cell r="B22">
            <v>40209.4</v>
          </cell>
          <cell r="C22">
            <v>165804.06</v>
          </cell>
          <cell r="D22">
            <v>37924.46000000001</v>
          </cell>
          <cell r="E22">
            <v>0</v>
          </cell>
        </row>
        <row r="23">
          <cell r="B23">
            <v>37079.47</v>
          </cell>
          <cell r="C23">
            <v>32794.53</v>
          </cell>
          <cell r="D23">
            <v>38313.969999999994</v>
          </cell>
          <cell r="E23">
            <v>0</v>
          </cell>
        </row>
        <row r="24">
          <cell r="B24">
            <v>0</v>
          </cell>
          <cell r="C24">
            <v>0</v>
          </cell>
          <cell r="D24">
            <v>0</v>
          </cell>
          <cell r="E24">
            <v>0</v>
          </cell>
        </row>
      </sheetData>
      <sheetData sheetId="15">
        <row r="9">
          <cell r="K9">
            <v>0</v>
          </cell>
        </row>
        <row r="10">
          <cell r="E10">
            <v>0</v>
          </cell>
          <cell r="K10">
            <v>0</v>
          </cell>
        </row>
        <row r="11">
          <cell r="E11">
            <v>0</v>
          </cell>
          <cell r="K11">
            <v>0</v>
          </cell>
        </row>
        <row r="12">
          <cell r="C12">
            <v>0</v>
          </cell>
          <cell r="I12">
            <v>0</v>
          </cell>
        </row>
        <row r="15">
          <cell r="E15">
            <v>41229.53</v>
          </cell>
          <cell r="K15">
            <v>11651.769999999999</v>
          </cell>
        </row>
        <row r="16">
          <cell r="E16">
            <v>163382.89</v>
          </cell>
          <cell r="K16">
            <v>38421.259999999995</v>
          </cell>
        </row>
        <row r="17">
          <cell r="E17">
            <v>0</v>
          </cell>
          <cell r="K17">
            <v>0</v>
          </cell>
        </row>
        <row r="18">
          <cell r="C18">
            <v>40733.89</v>
          </cell>
          <cell r="I18">
            <v>9339.14</v>
          </cell>
        </row>
        <row r="21">
          <cell r="E21">
            <v>1889618.58</v>
          </cell>
          <cell r="K21">
            <v>166638.15</v>
          </cell>
        </row>
        <row r="22">
          <cell r="E22">
            <v>1576290.34</v>
          </cell>
          <cell r="K22">
            <v>272540.18</v>
          </cell>
        </row>
        <row r="23">
          <cell r="E23">
            <v>0</v>
          </cell>
          <cell r="K23">
            <v>0</v>
          </cell>
        </row>
        <row r="24">
          <cell r="C24">
            <v>280999.56</v>
          </cell>
          <cell r="I24">
            <v>158177.77000000002</v>
          </cell>
        </row>
        <row r="27">
          <cell r="E27">
            <v>29182.45</v>
          </cell>
          <cell r="K27">
            <v>6000.65</v>
          </cell>
        </row>
        <row r="28">
          <cell r="E28">
            <v>24672.23</v>
          </cell>
          <cell r="K28">
            <v>6683.19</v>
          </cell>
        </row>
        <row r="29">
          <cell r="E29">
            <v>0</v>
          </cell>
          <cell r="K29">
            <v>0</v>
          </cell>
        </row>
        <row r="30">
          <cell r="C30">
            <v>10226.009999999998</v>
          </cell>
          <cell r="I30">
            <v>2457.83</v>
          </cell>
        </row>
        <row r="36">
          <cell r="C36">
            <v>331960.46</v>
          </cell>
          <cell r="E36">
            <v>3724376.02</v>
          </cell>
          <cell r="I36">
            <v>169974.74</v>
          </cell>
        </row>
      </sheetData>
      <sheetData sheetId="16">
        <row r="9">
          <cell r="K9">
            <v>0</v>
          </cell>
        </row>
        <row r="10">
          <cell r="E10">
            <v>0</v>
          </cell>
          <cell r="K10">
            <v>0</v>
          </cell>
        </row>
        <row r="11">
          <cell r="E11">
            <v>0</v>
          </cell>
          <cell r="K11">
            <v>0</v>
          </cell>
        </row>
        <row r="12">
          <cell r="C12">
            <v>0</v>
          </cell>
          <cell r="I12">
            <v>0</v>
          </cell>
        </row>
        <row r="15">
          <cell r="E15">
            <v>367547.71</v>
          </cell>
          <cell r="K15">
            <v>40008.29</v>
          </cell>
        </row>
        <row r="16">
          <cell r="E16">
            <v>1057843.55</v>
          </cell>
          <cell r="K16">
            <v>217363.32</v>
          </cell>
        </row>
        <row r="17">
          <cell r="E17">
            <v>0</v>
          </cell>
          <cell r="K17">
            <v>0</v>
          </cell>
        </row>
        <row r="18">
          <cell r="C18">
            <v>210966.52</v>
          </cell>
          <cell r="I18">
            <v>46404.09</v>
          </cell>
        </row>
        <row r="21">
          <cell r="E21">
            <v>2869865.83</v>
          </cell>
          <cell r="K21">
            <v>235397.56</v>
          </cell>
        </row>
        <row r="22">
          <cell r="E22">
            <v>6181460.94</v>
          </cell>
          <cell r="K22">
            <v>1226819.82</v>
          </cell>
        </row>
        <row r="23">
          <cell r="E23">
            <v>0</v>
          </cell>
          <cell r="K23">
            <v>0</v>
          </cell>
        </row>
        <row r="24">
          <cell r="C24">
            <v>1134452.16</v>
          </cell>
          <cell r="I24">
            <v>327766.22</v>
          </cell>
        </row>
        <row r="27">
          <cell r="E27">
            <v>29182.45</v>
          </cell>
          <cell r="K27">
            <v>6000.65</v>
          </cell>
        </row>
        <row r="28">
          <cell r="E28">
            <v>31659.44</v>
          </cell>
          <cell r="K28">
            <v>8153.66</v>
          </cell>
        </row>
        <row r="29">
          <cell r="E29">
            <v>0</v>
          </cell>
          <cell r="K29">
            <v>0</v>
          </cell>
        </row>
        <row r="30">
          <cell r="C30">
            <v>11485.33</v>
          </cell>
          <cell r="I30">
            <v>2669.98</v>
          </cell>
        </row>
        <row r="36">
          <cell r="C36">
            <v>1356904.0100000002</v>
          </cell>
          <cell r="E36">
            <v>10537559.920000002</v>
          </cell>
          <cell r="I36">
            <v>376840.29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58"/>
  <sheetViews>
    <sheetView tabSelected="1" zoomScalePageLayoutView="0" workbookViewId="0" topLeftCell="A1">
      <selection activeCell="G22" sqref="G22"/>
    </sheetView>
  </sheetViews>
  <sheetFormatPr defaultColWidth="15.7109375" defaultRowHeight="15" customHeight="1"/>
  <cols>
    <col min="1" max="1" width="52.57421875" style="1" customWidth="1"/>
    <col min="2" max="4" width="15.7109375" style="2" customWidth="1"/>
    <col min="5" max="16384" width="15.7109375" style="1" customWidth="1"/>
  </cols>
  <sheetData>
    <row r="1" spans="1:5" s="44" customFormat="1" ht="30" customHeight="1">
      <c r="A1" s="316" t="s">
        <v>0</v>
      </c>
      <c r="B1" s="316"/>
      <c r="C1" s="316"/>
      <c r="D1" s="316"/>
      <c r="E1" s="316"/>
    </row>
    <row r="2" spans="1:4" s="44" customFormat="1" ht="15" customHeight="1">
      <c r="A2" s="319"/>
      <c r="B2" s="319"/>
      <c r="C2" s="319"/>
      <c r="D2" s="319"/>
    </row>
    <row r="3" spans="1:5" s="41" customFormat="1" ht="15" customHeight="1">
      <c r="A3" s="317" t="s">
        <v>42</v>
      </c>
      <c r="B3" s="317"/>
      <c r="C3" s="317"/>
      <c r="D3" s="317"/>
      <c r="E3" s="317"/>
    </row>
    <row r="4" spans="1:5" s="41" customFormat="1" ht="15" customHeight="1">
      <c r="A4" s="318" t="s">
        <v>172</v>
      </c>
      <c r="B4" s="318"/>
      <c r="C4" s="318"/>
      <c r="D4" s="318"/>
      <c r="E4" s="318"/>
    </row>
    <row r="5" spans="1:4" s="41" customFormat="1" ht="15" customHeight="1">
      <c r="A5" s="43"/>
      <c r="B5" s="42"/>
      <c r="C5" s="42"/>
      <c r="D5" s="42"/>
    </row>
    <row r="6" spans="1:4" ht="45" customHeight="1">
      <c r="A6" s="40"/>
      <c r="B6" s="39" t="s">
        <v>41</v>
      </c>
      <c r="C6" s="39" t="s">
        <v>40</v>
      </c>
      <c r="D6" s="39" t="s">
        <v>39</v>
      </c>
    </row>
    <row r="7" spans="1:4" ht="15" customHeight="1">
      <c r="A7" s="38" t="s">
        <v>38</v>
      </c>
      <c r="B7" s="37"/>
      <c r="C7" s="37"/>
      <c r="D7" s="37"/>
    </row>
    <row r="8" spans="1:4" ht="15" customHeight="1">
      <c r="A8" s="19" t="s">
        <v>37</v>
      </c>
      <c r="B8" s="36">
        <f>'[3]2Q13 Trial Balance'!F30</f>
        <v>847783.63</v>
      </c>
      <c r="C8" s="35">
        <v>0</v>
      </c>
      <c r="D8" s="36">
        <f>SUM(B8:C8)</f>
        <v>847783.63</v>
      </c>
    </row>
    <row r="9" spans="1:4" ht="15" customHeight="1">
      <c r="A9" s="19" t="s">
        <v>36</v>
      </c>
      <c r="B9" s="33">
        <f>'[3]2Q13 Trial Balance'!F34</f>
        <v>697510.7100000001</v>
      </c>
      <c r="C9" s="35">
        <v>0</v>
      </c>
      <c r="D9" s="33">
        <f>SUM(B9:C9)</f>
        <v>697510.7100000001</v>
      </c>
    </row>
    <row r="10" spans="1:4" ht="15" customHeight="1">
      <c r="A10" s="19" t="s">
        <v>35</v>
      </c>
      <c r="B10" s="33">
        <f>'[3]2Q13 Trial Balance'!F26</f>
        <v>6188022.85</v>
      </c>
      <c r="C10" s="35">
        <v>0</v>
      </c>
      <c r="D10" s="33">
        <f>SUM(B10:C10)</f>
        <v>6188022.85</v>
      </c>
    </row>
    <row r="11" spans="1:4" ht="15" customHeight="1">
      <c r="A11" s="19" t="s">
        <v>211</v>
      </c>
      <c r="B11" s="33">
        <v>85887.5</v>
      </c>
      <c r="C11" s="33">
        <f>B11</f>
        <v>85887.5</v>
      </c>
      <c r="D11" s="33">
        <v>0</v>
      </c>
    </row>
    <row r="12" spans="1:4" ht="15" customHeight="1">
      <c r="A12" s="19" t="s">
        <v>34</v>
      </c>
      <c r="B12" s="33">
        <f>'[3]2Q13 Trial Balance'!F38</f>
        <v>9990.1</v>
      </c>
      <c r="C12" s="34">
        <v>0</v>
      </c>
      <c r="D12" s="33">
        <f>SUM(B12:C12)</f>
        <v>9990.1</v>
      </c>
    </row>
    <row r="13" spans="1:4" ht="15" customHeight="1">
      <c r="A13" s="19" t="s">
        <v>33</v>
      </c>
      <c r="B13" s="33">
        <f>25986.06-21466.86</f>
        <v>4519.200000000001</v>
      </c>
      <c r="C13" s="33">
        <f>B13</f>
        <v>4519.200000000001</v>
      </c>
      <c r="D13" s="301">
        <f>+B13-C13</f>
        <v>0</v>
      </c>
    </row>
    <row r="14" spans="1:6" ht="15" customHeight="1">
      <c r="A14" s="19" t="s">
        <v>32</v>
      </c>
      <c r="B14" s="33">
        <f>'[3]2Q13 Trial Balance'!F53+451957.99-203820.82</f>
        <v>284985.24</v>
      </c>
      <c r="C14" s="33">
        <f>451957.99-203820.82</f>
        <v>248137.16999999998</v>
      </c>
      <c r="D14" s="302">
        <f>B14-C14</f>
        <v>36848.07000000001</v>
      </c>
      <c r="E14" s="11"/>
      <c r="F14" s="16"/>
    </row>
    <row r="15" spans="1:5" ht="15" customHeight="1">
      <c r="A15" s="19" t="s">
        <v>31</v>
      </c>
      <c r="B15" s="33">
        <f>'[3]2Q13 Trial Balance'!F45+179.4+444.9-1</f>
        <v>157721.40999999997</v>
      </c>
      <c r="C15" s="33">
        <f>444.9+179.4</f>
        <v>624.3</v>
      </c>
      <c r="D15" s="302">
        <f>+B15-C15</f>
        <v>157097.11</v>
      </c>
      <c r="E15" s="16"/>
    </row>
    <row r="16" spans="1:6" ht="15" customHeight="1">
      <c r="A16" s="22" t="s">
        <v>30</v>
      </c>
      <c r="B16" s="32">
        <f>SUM(B8:B15)</f>
        <v>8276420.64</v>
      </c>
      <c r="C16" s="32">
        <f>SUM(C8:C15)</f>
        <v>339168.17</v>
      </c>
      <c r="D16" s="32">
        <f>SUM(D8:D15)+1</f>
        <v>7937253.47</v>
      </c>
      <c r="E16" s="17"/>
      <c r="F16" s="16"/>
    </row>
    <row r="17" spans="1:4" ht="15" customHeight="1">
      <c r="A17" s="15"/>
      <c r="B17" s="12"/>
      <c r="C17" s="12"/>
      <c r="D17" s="25"/>
    </row>
    <row r="18" spans="1:4" ht="15" customHeight="1">
      <c r="A18" s="20" t="s">
        <v>29</v>
      </c>
      <c r="B18" s="12"/>
      <c r="C18" s="12"/>
      <c r="D18" s="12"/>
    </row>
    <row r="19" spans="1:4" ht="15" customHeight="1">
      <c r="A19" s="19" t="s">
        <v>28</v>
      </c>
      <c r="B19" s="12"/>
      <c r="C19" s="29">
        <f>-'[3]2Q13 Trial Balance'!F171</f>
        <v>5760656</v>
      </c>
      <c r="D19" s="12"/>
    </row>
    <row r="20" spans="1:4" ht="15" customHeight="1">
      <c r="A20" s="19" t="s">
        <v>27</v>
      </c>
      <c r="B20" s="12"/>
      <c r="C20" s="29">
        <f>-'[3]2Q13 Trial Balance'!F174</f>
        <v>1450164</v>
      </c>
      <c r="D20" s="12"/>
    </row>
    <row r="21" spans="1:4" ht="15" customHeight="1">
      <c r="A21" s="19" t="s">
        <v>26</v>
      </c>
      <c r="B21" s="12"/>
      <c r="C21" s="29">
        <f>-'[3]2Q13 Trial Balance'!F168</f>
        <v>388155.26</v>
      </c>
      <c r="D21" s="12"/>
    </row>
    <row r="22" spans="1:4" ht="15" customHeight="1">
      <c r="A22" s="19" t="s">
        <v>25</v>
      </c>
      <c r="B22" s="12"/>
      <c r="C22" s="29">
        <f>-'[3]2Q13 Trial Balance'!F177</f>
        <v>368856.15</v>
      </c>
      <c r="D22" s="12"/>
    </row>
    <row r="23" spans="1:4" ht="15" customHeight="1">
      <c r="A23" s="19" t="s">
        <v>24</v>
      </c>
      <c r="B23" s="12"/>
      <c r="C23" s="29">
        <f>-'[3]2Q13 Trial Balance'!F183</f>
        <v>94657.45</v>
      </c>
      <c r="D23" s="29"/>
    </row>
    <row r="24" spans="1:4" ht="15" customHeight="1">
      <c r="A24" s="19" t="s">
        <v>23</v>
      </c>
      <c r="B24" s="12"/>
      <c r="C24" s="29">
        <f>-'[3]2Q13 Trial Balance'!F131</f>
        <v>9986.17</v>
      </c>
      <c r="D24" s="29"/>
    </row>
    <row r="25" spans="1:4" ht="15" customHeight="1">
      <c r="A25" s="19" t="s">
        <v>22</v>
      </c>
      <c r="B25" s="12"/>
      <c r="C25" s="26">
        <f>-'[3]2Q13 Trial Balance'!F128</f>
        <v>105539.04</v>
      </c>
      <c r="D25" s="14"/>
    </row>
    <row r="26" spans="1:4" ht="15" customHeight="1">
      <c r="A26" s="19"/>
      <c r="B26" s="31"/>
      <c r="C26" s="12"/>
      <c r="D26" s="29"/>
    </row>
    <row r="27" spans="1:4" ht="15" customHeight="1">
      <c r="A27" s="22" t="s">
        <v>21</v>
      </c>
      <c r="B27" s="12"/>
      <c r="C27" s="12"/>
      <c r="D27" s="24">
        <f>SUM(C19:C26)-1</f>
        <v>8178013.07</v>
      </c>
    </row>
    <row r="28" spans="1:4" ht="15" customHeight="1">
      <c r="A28" s="15"/>
      <c r="B28" s="12"/>
      <c r="C28" s="12"/>
      <c r="D28" s="12"/>
    </row>
    <row r="29" spans="1:4" ht="15" customHeight="1">
      <c r="A29" s="20" t="s">
        <v>20</v>
      </c>
      <c r="B29" s="12"/>
      <c r="C29" s="12"/>
      <c r="D29" s="12"/>
    </row>
    <row r="30" spans="1:4" ht="15" customHeight="1">
      <c r="A30" s="19" t="s">
        <v>19</v>
      </c>
      <c r="B30" s="12"/>
      <c r="C30" s="29">
        <f>-'[3]2Q13 Trial Balance'!F69</f>
        <v>5503718.600000001</v>
      </c>
      <c r="D30" s="12"/>
    </row>
    <row r="31" spans="1:6" ht="15" customHeight="1">
      <c r="A31" s="19" t="s">
        <v>18</v>
      </c>
      <c r="B31" s="12"/>
      <c r="C31" s="29">
        <f>-'[3]2Q13 Trial Balance'!F82</f>
        <v>2389014.9899999998</v>
      </c>
      <c r="D31" s="29"/>
      <c r="E31" s="28"/>
      <c r="F31" s="30"/>
    </row>
    <row r="32" spans="1:6" ht="15" customHeight="1">
      <c r="A32" s="19" t="s">
        <v>17</v>
      </c>
      <c r="B32" s="12"/>
      <c r="C32" s="29">
        <f>-'[3]2Q13 Trial Balance'!F90</f>
        <v>574261</v>
      </c>
      <c r="D32" s="29"/>
      <c r="E32" s="28"/>
      <c r="F32" s="30"/>
    </row>
    <row r="33" spans="1:6" ht="15" customHeight="1">
      <c r="A33" s="19" t="s">
        <v>16</v>
      </c>
      <c r="B33" s="12"/>
      <c r="C33" s="29">
        <f>-'[3]2Q13 Trial Balance'!F105</f>
        <v>223372</v>
      </c>
      <c r="D33" s="29"/>
      <c r="E33" s="28"/>
      <c r="F33" s="30"/>
    </row>
    <row r="34" spans="1:7" ht="15" customHeight="1">
      <c r="A34" s="19" t="s">
        <v>15</v>
      </c>
      <c r="B34" s="14"/>
      <c r="C34" s="29">
        <f>-'[3]2Q13 Trial Balance'!F118</f>
        <v>128752.88999999998</v>
      </c>
      <c r="D34" s="29"/>
      <c r="E34" s="28"/>
      <c r="F34" s="28"/>
      <c r="G34" s="28"/>
    </row>
    <row r="35" spans="1:4" ht="15" customHeight="1">
      <c r="A35" s="19" t="s">
        <v>14</v>
      </c>
      <c r="B35" s="12"/>
      <c r="C35" s="27">
        <f>-'[3]2Q13 Trial Balance'!F139</f>
        <v>147430.66999999998</v>
      </c>
      <c r="D35" s="12"/>
    </row>
    <row r="36" spans="1:4" ht="15" customHeight="1">
      <c r="A36" s="19" t="s">
        <v>13</v>
      </c>
      <c r="B36" s="12"/>
      <c r="C36" s="26">
        <f>-'[3]2Q13 Trial Balance'!F124</f>
        <v>240.91</v>
      </c>
      <c r="D36" s="12"/>
    </row>
    <row r="37" spans="1:4" ht="15" customHeight="1">
      <c r="A37" s="19"/>
      <c r="B37" s="25"/>
      <c r="C37" s="12"/>
      <c r="D37" s="12"/>
    </row>
    <row r="38" spans="1:4" ht="15" customHeight="1">
      <c r="A38" s="13" t="s">
        <v>12</v>
      </c>
      <c r="B38" s="12"/>
      <c r="C38" s="14"/>
      <c r="D38" s="24">
        <f>SUM(C30:C36)+1</f>
        <v>8966792.06</v>
      </c>
    </row>
    <row r="39" spans="1:4" ht="15" customHeight="1">
      <c r="A39" s="13"/>
      <c r="B39" s="12"/>
      <c r="C39" s="14"/>
      <c r="D39" s="23"/>
    </row>
    <row r="40" spans="1:6" ht="15" customHeight="1">
      <c r="A40" s="22" t="s">
        <v>11</v>
      </c>
      <c r="B40" s="12"/>
      <c r="C40" s="14"/>
      <c r="D40" s="21">
        <f>D27+D38</f>
        <v>17144805.130000003</v>
      </c>
      <c r="F40" s="16"/>
    </row>
    <row r="41" spans="1:4" ht="15" customHeight="1">
      <c r="A41" s="15"/>
      <c r="B41" s="12"/>
      <c r="C41" s="14"/>
      <c r="D41" s="12"/>
    </row>
    <row r="42" spans="1:4" ht="15" customHeight="1">
      <c r="A42" s="20" t="s">
        <v>10</v>
      </c>
      <c r="B42" s="12"/>
      <c r="C42" s="14"/>
      <c r="D42" s="12"/>
    </row>
    <row r="43" spans="1:7" ht="15" customHeight="1">
      <c r="A43" s="19" t="s">
        <v>173</v>
      </c>
      <c r="B43" s="12"/>
      <c r="C43" s="14"/>
      <c r="D43" s="18">
        <f>+D16-D40</f>
        <v>-9207551.660000004</v>
      </c>
      <c r="E43" s="17"/>
      <c r="F43" s="16"/>
      <c r="G43" s="11"/>
    </row>
    <row r="44" spans="1:4" ht="15" customHeight="1">
      <c r="A44" s="15"/>
      <c r="B44" s="14"/>
      <c r="C44" s="14"/>
      <c r="D44" s="12"/>
    </row>
    <row r="45" spans="1:6" ht="15" customHeight="1" thickBot="1">
      <c r="A45" s="13" t="s">
        <v>9</v>
      </c>
      <c r="B45" s="12"/>
      <c r="C45" s="12"/>
      <c r="D45" s="303">
        <f>D40+D43</f>
        <v>7937253.469999999</v>
      </c>
      <c r="E45" s="11"/>
      <c r="F45" s="8"/>
    </row>
    <row r="46" spans="1:5" ht="15" customHeight="1" thickTop="1">
      <c r="A46" s="10"/>
      <c r="B46" s="9"/>
      <c r="C46" s="9"/>
      <c r="D46" s="9"/>
      <c r="E46" s="8"/>
    </row>
    <row r="55" spans="1:4" ht="15" customHeight="1">
      <c r="A55" s="7"/>
      <c r="D55" s="6"/>
    </row>
    <row r="58" spans="2:4" s="3" customFormat="1" ht="15" customHeight="1">
      <c r="B58" s="5"/>
      <c r="C58" s="5"/>
      <c r="D58" s="4"/>
    </row>
  </sheetData>
  <sheetProtection/>
  <mergeCells count="4">
    <mergeCell ref="A2:D2"/>
    <mergeCell ref="A1:E1"/>
    <mergeCell ref="A3:E3"/>
    <mergeCell ref="A4:E4"/>
  </mergeCells>
  <printOptions horizontalCentered="1"/>
  <pageMargins left="0.25" right="0.25" top="0.5" bottom="0.5" header="0.25" footer="0.25"/>
  <pageSetup horizontalDpi="300" verticalDpi="3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F74"/>
  <sheetViews>
    <sheetView zoomScalePageLayoutView="0" workbookViewId="0" topLeftCell="A1">
      <selection activeCell="A1" sqref="A1:F1"/>
    </sheetView>
  </sheetViews>
  <sheetFormatPr defaultColWidth="15.7109375" defaultRowHeight="15" customHeight="1"/>
  <cols>
    <col min="1" max="1" width="59.00390625" style="225" customWidth="1"/>
    <col min="2" max="4" width="16.7109375" style="224" customWidth="1"/>
    <col min="5" max="6" width="16.7109375" style="223" customWidth="1"/>
    <col min="7" max="16384" width="15.7109375" style="133" customWidth="1"/>
  </cols>
  <sheetData>
    <row r="1" spans="1:6" s="249" customFormat="1" ht="24.75" customHeight="1">
      <c r="A1" s="338" t="s">
        <v>0</v>
      </c>
      <c r="B1" s="338"/>
      <c r="C1" s="338"/>
      <c r="D1" s="338"/>
      <c r="E1" s="338"/>
      <c r="F1" s="338"/>
    </row>
    <row r="2" spans="1:6" s="248" customFormat="1" ht="15" customHeight="1">
      <c r="A2" s="226"/>
      <c r="B2" s="245"/>
      <c r="C2" s="245"/>
      <c r="D2" s="245"/>
      <c r="E2" s="245"/>
      <c r="F2" s="245"/>
    </row>
    <row r="3" spans="1:6" s="247" customFormat="1" ht="15" customHeight="1">
      <c r="A3" s="339" t="s">
        <v>167</v>
      </c>
      <c r="B3" s="339"/>
      <c r="C3" s="339"/>
      <c r="D3" s="339"/>
      <c r="E3" s="339"/>
      <c r="F3" s="339"/>
    </row>
    <row r="4" spans="1:6" s="247" customFormat="1" ht="15" customHeight="1">
      <c r="A4" s="339" t="s">
        <v>174</v>
      </c>
      <c r="B4" s="339"/>
      <c r="C4" s="339"/>
      <c r="D4" s="339"/>
      <c r="E4" s="339"/>
      <c r="F4" s="339"/>
    </row>
    <row r="5" spans="1:6" s="244" customFormat="1" ht="15" customHeight="1">
      <c r="A5" s="226"/>
      <c r="B5" s="246"/>
      <c r="C5" s="246"/>
      <c r="D5" s="246"/>
      <c r="E5" s="245"/>
      <c r="F5" s="245"/>
    </row>
    <row r="6" spans="2:6" ht="30" customHeight="1">
      <c r="B6" s="195" t="s">
        <v>176</v>
      </c>
      <c r="C6" s="195" t="s">
        <v>1</v>
      </c>
      <c r="D6" s="195" t="s">
        <v>2</v>
      </c>
      <c r="E6" s="195" t="s">
        <v>3</v>
      </c>
      <c r="F6" s="195" t="s">
        <v>4</v>
      </c>
    </row>
    <row r="7" spans="1:6" ht="15" customHeight="1">
      <c r="A7" s="238" t="s">
        <v>166</v>
      </c>
      <c r="B7" s="227"/>
      <c r="C7" s="227"/>
      <c r="D7" s="227"/>
      <c r="E7" s="227"/>
      <c r="F7" s="227"/>
    </row>
    <row r="8" spans="1:6" ht="15" customHeight="1">
      <c r="A8" s="238" t="s">
        <v>165</v>
      </c>
      <c r="B8" s="243"/>
      <c r="C8" s="243"/>
      <c r="D8" s="243"/>
      <c r="E8" s="243"/>
      <c r="F8" s="243"/>
    </row>
    <row r="9" spans="1:6" ht="15" customHeight="1">
      <c r="A9" s="236" t="s">
        <v>164</v>
      </c>
      <c r="B9" s="132">
        <f>'[3]Loss Expenses Paid YTD-16'!E27</f>
        <v>29182.45</v>
      </c>
      <c r="C9" s="132">
        <f>'[3]Loss Expenses Paid YTD-16'!E21</f>
        <v>2869865.83</v>
      </c>
      <c r="D9" s="132">
        <f>'[3]Loss Expenses Paid YTD-16'!E15+'[3]2Q13 Trial Balance'!E286</f>
        <v>366555.81</v>
      </c>
      <c r="E9" s="149">
        <f>'[3]2Q13 Trial Balance'!E284</f>
        <v>0</v>
      </c>
      <c r="F9" s="132">
        <f>SUM(B9:E9)</f>
        <v>3265604.0900000003</v>
      </c>
    </row>
    <row r="10" spans="1:6" ht="15" customHeight="1">
      <c r="A10" s="236" t="s">
        <v>146</v>
      </c>
      <c r="B10" s="27">
        <f>'[3]Loss Expenses Paid YTD-16'!E28</f>
        <v>31659.44</v>
      </c>
      <c r="C10" s="27">
        <f>'[3]Loss Expenses Paid YTD-16'!E22+'[3]2Q13 Trial Balance'!E289</f>
        <v>6180940.71</v>
      </c>
      <c r="D10" s="27">
        <f>'[3]Loss Expenses Paid YTD-16'!E16+'[3]2Q13 Trial Balance'!E287</f>
        <v>1052850.55</v>
      </c>
      <c r="E10" s="149">
        <f>'[3]Loss Expenses Paid YTD-16'!E10</f>
        <v>0</v>
      </c>
      <c r="F10" s="190">
        <f>SUM(B10:E10)</f>
        <v>7265450.7</v>
      </c>
    </row>
    <row r="11" spans="1:6" ht="15" customHeight="1">
      <c r="A11" s="236" t="s">
        <v>145</v>
      </c>
      <c r="B11" s="149">
        <f>'[3]Loss Expenses Paid YTD-16'!E29</f>
        <v>0</v>
      </c>
      <c r="C11" s="149">
        <f>'[3]Loss Expenses Paid YTD-16'!E23</f>
        <v>0</v>
      </c>
      <c r="D11" s="149">
        <f>'[3]Loss Expenses Paid YTD-16'!E17</f>
        <v>0</v>
      </c>
      <c r="E11" s="149">
        <f>'[3]Loss Expenses Paid YTD-16'!E11</f>
        <v>0</v>
      </c>
      <c r="F11" s="149">
        <f>SUM(B11:E11)</f>
        <v>0</v>
      </c>
    </row>
    <row r="12" spans="1:6" ht="15" customHeight="1" thickBot="1">
      <c r="A12" s="235" t="s">
        <v>144</v>
      </c>
      <c r="B12" s="88">
        <f>SUM(B9:B11)-1</f>
        <v>60840.89</v>
      </c>
      <c r="C12" s="88">
        <f>SUM(C9:C11)</f>
        <v>9050806.54</v>
      </c>
      <c r="D12" s="88">
        <f>SUM(D9:D11)+1</f>
        <v>1419407.36</v>
      </c>
      <c r="E12" s="262">
        <f>SUM(E9:E11)</f>
        <v>0</v>
      </c>
      <c r="F12" s="242">
        <f>SUM(F9:F11)</f>
        <v>10531054.790000001</v>
      </c>
    </row>
    <row r="13" spans="1:6" ht="15" customHeight="1" thickTop="1">
      <c r="A13" s="238"/>
      <c r="B13" s="237"/>
      <c r="C13" s="237"/>
      <c r="D13" s="237"/>
      <c r="E13" s="190"/>
      <c r="F13" s="190"/>
    </row>
    <row r="14" spans="1:6" ht="15" customHeight="1">
      <c r="A14" s="238" t="s">
        <v>184</v>
      </c>
      <c r="B14" s="237"/>
      <c r="C14" s="237"/>
      <c r="D14" s="237"/>
      <c r="E14" s="190"/>
      <c r="F14" s="190"/>
    </row>
    <row r="15" spans="1:6" ht="15" customHeight="1">
      <c r="A15" s="236" t="s">
        <v>161</v>
      </c>
      <c r="B15" s="27">
        <f>'[3]Unpaid Loss Reserves-13'!B9</f>
        <v>33600</v>
      </c>
      <c r="C15" s="27">
        <f>'[3]Unpaid Loss Reserves-13'!C9</f>
        <v>1844492.29</v>
      </c>
      <c r="D15" s="27">
        <f>'[3]Unpaid Loss Reserves-13'!D9</f>
        <v>57262.79</v>
      </c>
      <c r="E15" s="149">
        <f>'[3]Unpaid Loss Reserves-13'!E9</f>
        <v>0</v>
      </c>
      <c r="F15" s="190">
        <f>SUM(B15:E15)</f>
        <v>1935355.08</v>
      </c>
    </row>
    <row r="16" spans="1:6" ht="15" customHeight="1">
      <c r="A16" s="236" t="s">
        <v>160</v>
      </c>
      <c r="B16" s="27">
        <f>'[3]Unpaid Loss Reserves-13'!B10</f>
        <v>30985.32</v>
      </c>
      <c r="C16" s="27">
        <f>'[3]Unpaid Loss Reserves-13'!C10</f>
        <v>364823.67</v>
      </c>
      <c r="D16" s="27">
        <f>'[3]Unpaid Loss Reserves-13'!D10</f>
        <v>57850.92</v>
      </c>
      <c r="E16" s="149">
        <f>'[3]Unpaid Loss Reserves-13'!E10</f>
        <v>0</v>
      </c>
      <c r="F16" s="190">
        <f>SUM(B16:E16)</f>
        <v>453659.91</v>
      </c>
    </row>
    <row r="17" spans="1:6" ht="15" customHeight="1">
      <c r="A17" s="236" t="s">
        <v>159</v>
      </c>
      <c r="B17" s="149">
        <f>'[3]Unpaid Loss Reserves-13'!B11</f>
        <v>0</v>
      </c>
      <c r="C17" s="149">
        <f>'[3]Unpaid Loss Reserves-13'!C11</f>
        <v>0</v>
      </c>
      <c r="D17" s="149">
        <f>'[3]Unpaid Loss Reserves-13'!D11</f>
        <v>0</v>
      </c>
      <c r="E17" s="149">
        <f>'[3]Unpaid Loss Reserves-13'!E11</f>
        <v>0</v>
      </c>
      <c r="F17" s="149">
        <f>SUM(B17:E17)</f>
        <v>0</v>
      </c>
    </row>
    <row r="18" spans="1:6" ht="15" customHeight="1" thickBot="1">
      <c r="A18" s="235" t="s">
        <v>144</v>
      </c>
      <c r="B18" s="88">
        <f>SUM(B15:B17)</f>
        <v>64585.32</v>
      </c>
      <c r="C18" s="88">
        <f>SUM(C15:C17)</f>
        <v>2209315.96</v>
      </c>
      <c r="D18" s="88">
        <f>SUM(D15:D17)</f>
        <v>115113.70999999999</v>
      </c>
      <c r="E18" s="262">
        <f>SUM(E15:E17)</f>
        <v>0</v>
      </c>
      <c r="F18" s="242">
        <f>SUM(F15:F17)</f>
        <v>2389014.99</v>
      </c>
    </row>
    <row r="19" spans="1:6" ht="15" customHeight="1" thickTop="1">
      <c r="A19" s="238"/>
      <c r="B19" s="89"/>
      <c r="C19" s="89"/>
      <c r="D19" s="89"/>
      <c r="E19" s="241"/>
      <c r="F19" s="241"/>
    </row>
    <row r="20" spans="1:6" ht="15" customHeight="1">
      <c r="A20" s="238" t="s">
        <v>185</v>
      </c>
      <c r="B20" s="233"/>
      <c r="C20" s="233"/>
      <c r="D20" s="233"/>
      <c r="E20" s="233"/>
      <c r="F20" s="233"/>
    </row>
    <row r="21" spans="1:6" ht="15" customHeight="1">
      <c r="A21" s="236" t="s">
        <v>161</v>
      </c>
      <c r="B21" s="27">
        <f>'[3]Unpaid Loss Reserves-13'!B16</f>
        <v>298754.69</v>
      </c>
      <c r="C21" s="149">
        <f>'[3]Unpaid Loss Reserves-13'!C16</f>
        <v>0</v>
      </c>
      <c r="D21" s="149">
        <f>'[3]Unpaid Loss Reserves-13'!D16</f>
        <v>0</v>
      </c>
      <c r="E21" s="149">
        <f>'[3]Unpaid Loss Reserves-13'!E16</f>
        <v>0</v>
      </c>
      <c r="F21" s="190">
        <f>SUM(B21:E21)</f>
        <v>298754.69</v>
      </c>
    </row>
    <row r="22" spans="1:6" ht="15" customHeight="1">
      <c r="A22" s="236" t="s">
        <v>160</v>
      </c>
      <c r="B22" s="27">
        <f>'[3]Unpaid Loss Reserves-13'!B17</f>
        <v>275506.31</v>
      </c>
      <c r="C22" s="149">
        <f>'[3]Unpaid Loss Reserves-13'!C17</f>
        <v>0</v>
      </c>
      <c r="D22" s="149">
        <f>'[3]Unpaid Loss Reserves-13'!D17</f>
        <v>0</v>
      </c>
      <c r="E22" s="149">
        <f>'[3]Unpaid Loss Reserves-13'!E17</f>
        <v>0</v>
      </c>
      <c r="F22" s="190">
        <f>SUM(B22:E22)</f>
        <v>275506.31</v>
      </c>
    </row>
    <row r="23" spans="1:6" ht="15" customHeight="1">
      <c r="A23" s="236" t="s">
        <v>159</v>
      </c>
      <c r="B23" s="149">
        <f>'[3]Unpaid Loss Reserves-13'!B18</f>
        <v>0</v>
      </c>
      <c r="C23" s="149">
        <f>'[3]Unpaid Loss Reserves-13'!C18</f>
        <v>0</v>
      </c>
      <c r="D23" s="149">
        <f>'[3]Unpaid Loss Reserves-13'!D18</f>
        <v>0</v>
      </c>
      <c r="E23" s="149">
        <f>'[3]Unpaid Loss Reserves-13'!E18</f>
        <v>0</v>
      </c>
      <c r="F23" s="149">
        <f>SUM(B23:E23)</f>
        <v>0</v>
      </c>
    </row>
    <row r="24" spans="1:6" ht="15" customHeight="1" thickBot="1">
      <c r="A24" s="235" t="s">
        <v>144</v>
      </c>
      <c r="B24" s="88">
        <f>SUM(B21:B23)</f>
        <v>574261</v>
      </c>
      <c r="C24" s="262">
        <f>SUM(C21:C23)</f>
        <v>0</v>
      </c>
      <c r="D24" s="262">
        <f>SUM(D21:D23)</f>
        <v>0</v>
      </c>
      <c r="E24" s="262">
        <f>SUM(E21:E23)</f>
        <v>0</v>
      </c>
      <c r="F24" s="242">
        <f>SUM(F21:F23)</f>
        <v>574261</v>
      </c>
    </row>
    <row r="25" spans="1:6" ht="15" customHeight="1" thickTop="1">
      <c r="A25" s="238"/>
      <c r="B25" s="237"/>
      <c r="C25" s="237"/>
      <c r="D25" s="237"/>
      <c r="E25" s="190"/>
      <c r="F25" s="190"/>
    </row>
    <row r="26" spans="1:6" ht="15" customHeight="1">
      <c r="A26" s="238" t="s">
        <v>186</v>
      </c>
      <c r="B26" s="240"/>
      <c r="C26" s="240"/>
      <c r="D26" s="240"/>
      <c r="E26" s="190"/>
      <c r="F26" s="190"/>
    </row>
    <row r="27" spans="1:6" ht="15" customHeight="1">
      <c r="A27" s="238" t="s">
        <v>163</v>
      </c>
      <c r="B27" s="240"/>
      <c r="C27" s="240"/>
      <c r="D27" s="240"/>
      <c r="E27" s="190"/>
      <c r="F27" s="190"/>
    </row>
    <row r="28" spans="1:6" ht="15" customHeight="1">
      <c r="A28" s="236" t="s">
        <v>161</v>
      </c>
      <c r="B28" s="149">
        <v>0</v>
      </c>
      <c r="C28" s="190">
        <v>1539043.47</v>
      </c>
      <c r="D28" s="190">
        <v>359984.8</v>
      </c>
      <c r="E28" s="190">
        <v>52262.79</v>
      </c>
      <c r="F28" s="190">
        <f>SUM(B28:E28)</f>
        <v>1951291.06</v>
      </c>
    </row>
    <row r="29" spans="1:6" ht="15" customHeight="1">
      <c r="A29" s="236" t="s">
        <v>160</v>
      </c>
      <c r="B29" s="149">
        <v>0</v>
      </c>
      <c r="C29" s="190">
        <v>6155629.98</v>
      </c>
      <c r="D29" s="190">
        <v>1142145.27</v>
      </c>
      <c r="E29" s="175">
        <v>0</v>
      </c>
      <c r="F29" s="190">
        <f>SUM(B29:E29)</f>
        <v>7297775.25</v>
      </c>
    </row>
    <row r="30" spans="1:6" ht="15" customHeight="1">
      <c r="A30" s="236" t="s">
        <v>159</v>
      </c>
      <c r="B30" s="149">
        <v>0</v>
      </c>
      <c r="C30" s="149">
        <v>0</v>
      </c>
      <c r="D30" s="149">
        <v>0</v>
      </c>
      <c r="E30" s="149">
        <v>0</v>
      </c>
      <c r="F30" s="149">
        <f>SUM(B30:E30)</f>
        <v>0</v>
      </c>
    </row>
    <row r="31" spans="1:6" ht="15" customHeight="1" thickBot="1">
      <c r="A31" s="235" t="s">
        <v>144</v>
      </c>
      <c r="B31" s="262">
        <f>SUM(B28:B30)</f>
        <v>0</v>
      </c>
      <c r="C31" s="88">
        <f>SUM(C28:C30)</f>
        <v>7694673.45</v>
      </c>
      <c r="D31" s="88">
        <f>SUM(D28:D30)</f>
        <v>1502130.07</v>
      </c>
      <c r="E31" s="88">
        <f>SUM(E28:E30)</f>
        <v>52262.79</v>
      </c>
      <c r="F31" s="242">
        <f>SUM(F28:F30)</f>
        <v>9249066.31</v>
      </c>
    </row>
    <row r="32" spans="1:6" s="239" customFormat="1" ht="15" customHeight="1" thickTop="1">
      <c r="A32" s="238"/>
      <c r="B32" s="240"/>
      <c r="C32" s="240"/>
      <c r="D32" s="240"/>
      <c r="E32" s="240"/>
      <c r="F32" s="240"/>
    </row>
    <row r="33" spans="1:6" ht="15" customHeight="1">
      <c r="A33" s="238" t="s">
        <v>162</v>
      </c>
      <c r="B33" s="237"/>
      <c r="C33" s="237"/>
      <c r="D33" s="237"/>
      <c r="E33" s="190"/>
      <c r="F33" s="190"/>
    </row>
    <row r="34" spans="1:6" ht="15" customHeight="1">
      <c r="A34" s="236" t="s">
        <v>161</v>
      </c>
      <c r="B34" s="190">
        <f aca="true" t="shared" si="0" ref="B34:C36">B9+(B15+B21-B28)</f>
        <v>361537.14</v>
      </c>
      <c r="C34" s="190">
        <f t="shared" si="0"/>
        <v>3175314.6500000004</v>
      </c>
      <c r="D34" s="190">
        <f aca="true" t="shared" si="1" ref="D34:E36">D9+(D15+D21-D28)</f>
        <v>63833.79999999999</v>
      </c>
      <c r="E34" s="189">
        <f t="shared" si="1"/>
        <v>-52262.79</v>
      </c>
      <c r="F34" s="190">
        <f>SUM(B34:E34)</f>
        <v>3548422.8000000003</v>
      </c>
    </row>
    <row r="35" spans="1:6" ht="15" customHeight="1">
      <c r="A35" s="236" t="s">
        <v>160</v>
      </c>
      <c r="B35" s="190">
        <f>B10+(B16+B22-B29)-1</f>
        <v>338150.07</v>
      </c>
      <c r="C35" s="190">
        <f>C10+(C16+C22-C29)+1</f>
        <v>390135.39999999944</v>
      </c>
      <c r="D35" s="189">
        <f>D10+(D16+D22-D29)+1</f>
        <v>-31442.800000000047</v>
      </c>
      <c r="E35" s="149">
        <f t="shared" si="1"/>
        <v>0</v>
      </c>
      <c r="F35" s="190">
        <f>SUM(B35:E35)-1</f>
        <v>696841.6699999995</v>
      </c>
    </row>
    <row r="36" spans="1:6" ht="15" customHeight="1">
      <c r="A36" s="236" t="s">
        <v>159</v>
      </c>
      <c r="B36" s="149">
        <f t="shared" si="0"/>
        <v>0</v>
      </c>
      <c r="C36" s="149">
        <f t="shared" si="0"/>
        <v>0</v>
      </c>
      <c r="D36" s="149">
        <f t="shared" si="1"/>
        <v>0</v>
      </c>
      <c r="E36" s="149">
        <f t="shared" si="1"/>
        <v>0</v>
      </c>
      <c r="F36" s="149">
        <f>SUM(B36:E36)</f>
        <v>0</v>
      </c>
    </row>
    <row r="37" spans="1:6" ht="15" customHeight="1" thickBot="1">
      <c r="A37" s="235" t="s">
        <v>144</v>
      </c>
      <c r="B37" s="234">
        <f>SUM(B34:B36)</f>
        <v>699687.21</v>
      </c>
      <c r="C37" s="234">
        <f>SUM(C34:C36)</f>
        <v>3565450.05</v>
      </c>
      <c r="D37" s="234">
        <f>SUM(D34:D36)</f>
        <v>32390.99999999994</v>
      </c>
      <c r="E37" s="234">
        <f>SUM(E34:E36)</f>
        <v>-52262.79</v>
      </c>
      <c r="F37" s="234">
        <f>SUM(F34:F36)+1</f>
        <v>4245265.47</v>
      </c>
    </row>
    <row r="38" spans="2:6" ht="15" customHeight="1" thickTop="1">
      <c r="B38" s="233"/>
      <c r="C38" s="233"/>
      <c r="D38" s="233"/>
      <c r="F38" s="190"/>
    </row>
    <row r="39" spans="1:6" s="228" customFormat="1" ht="15" customHeight="1">
      <c r="A39" s="232"/>
      <c r="B39" s="231"/>
      <c r="C39" s="231"/>
      <c r="D39" s="231"/>
      <c r="E39" s="230"/>
      <c r="F39" s="190"/>
    </row>
    <row r="40" spans="2:4" ht="15" customHeight="1">
      <c r="B40" s="227"/>
      <c r="C40" s="227"/>
      <c r="D40" s="227"/>
    </row>
    <row r="41" spans="2:4" ht="15" customHeight="1">
      <c r="B41" s="227"/>
      <c r="C41" s="227"/>
      <c r="D41" s="227"/>
    </row>
    <row r="42" spans="2:4" ht="15" customHeight="1">
      <c r="B42" s="227"/>
      <c r="C42" s="227"/>
      <c r="D42" s="227"/>
    </row>
    <row r="43" spans="1:4" ht="15" customHeight="1">
      <c r="A43" s="226"/>
      <c r="B43" s="227"/>
      <c r="C43" s="227"/>
      <c r="D43" s="227"/>
    </row>
    <row r="44" spans="1:4" ht="15" customHeight="1">
      <c r="A44" s="226"/>
      <c r="B44" s="227"/>
      <c r="C44" s="227"/>
      <c r="D44" s="227"/>
    </row>
    <row r="45" spans="1:4" ht="15" customHeight="1">
      <c r="A45" s="226"/>
      <c r="B45" s="227"/>
      <c r="C45" s="227"/>
      <c r="D45" s="227"/>
    </row>
    <row r="46" spans="1:4" ht="15" customHeight="1">
      <c r="A46" s="226"/>
      <c r="B46" s="227"/>
      <c r="C46" s="227"/>
      <c r="D46" s="227"/>
    </row>
    <row r="47" spans="1:4" ht="15" customHeight="1">
      <c r="A47" s="226"/>
      <c r="B47" s="227"/>
      <c r="C47" s="227"/>
      <c r="D47" s="227"/>
    </row>
    <row r="48" spans="1:4" ht="15" customHeight="1">
      <c r="A48" s="226"/>
      <c r="B48" s="227"/>
      <c r="C48" s="227"/>
      <c r="D48" s="227"/>
    </row>
    <row r="49" spans="1:4" s="133" customFormat="1" ht="15" customHeight="1">
      <c r="A49" s="226"/>
      <c r="B49" s="227"/>
      <c r="C49" s="227"/>
      <c r="D49" s="227"/>
    </row>
    <row r="50" spans="1:4" s="133" customFormat="1" ht="15" customHeight="1">
      <c r="A50" s="226"/>
      <c r="B50" s="227"/>
      <c r="C50" s="227"/>
      <c r="D50" s="227"/>
    </row>
    <row r="51" spans="1:4" s="133" customFormat="1" ht="15" customHeight="1">
      <c r="A51" s="226"/>
      <c r="B51" s="227"/>
      <c r="C51" s="227"/>
      <c r="D51" s="227"/>
    </row>
    <row r="52" spans="1:4" s="133" customFormat="1" ht="15" customHeight="1">
      <c r="A52" s="226"/>
      <c r="B52" s="227"/>
      <c r="C52" s="227"/>
      <c r="D52" s="227"/>
    </row>
    <row r="53" spans="1:4" s="133" customFormat="1" ht="15" customHeight="1">
      <c r="A53" s="226"/>
      <c r="B53" s="227"/>
      <c r="C53" s="227"/>
      <c r="D53" s="227"/>
    </row>
    <row r="54" spans="1:4" s="133" customFormat="1" ht="15" customHeight="1">
      <c r="A54" s="226"/>
      <c r="B54" s="227"/>
      <c r="C54" s="227"/>
      <c r="D54" s="227"/>
    </row>
    <row r="55" spans="1:4" s="133" customFormat="1" ht="15" customHeight="1">
      <c r="A55" s="226"/>
      <c r="B55" s="224"/>
      <c r="C55" s="224"/>
      <c r="D55" s="224"/>
    </row>
    <row r="56" spans="1:4" s="133" customFormat="1" ht="15" customHeight="1">
      <c r="A56" s="226"/>
      <c r="B56" s="224"/>
      <c r="C56" s="224"/>
      <c r="D56" s="224"/>
    </row>
    <row r="57" spans="1:4" s="133" customFormat="1" ht="15" customHeight="1">
      <c r="A57" s="226"/>
      <c r="B57" s="224"/>
      <c r="C57" s="224"/>
      <c r="D57" s="224"/>
    </row>
    <row r="58" spans="1:4" s="133" customFormat="1" ht="15" customHeight="1">
      <c r="A58" s="226"/>
      <c r="B58" s="224"/>
      <c r="C58" s="224"/>
      <c r="D58" s="224"/>
    </row>
    <row r="59" spans="1:4" s="133" customFormat="1" ht="15" customHeight="1">
      <c r="A59" s="226"/>
      <c r="B59" s="224"/>
      <c r="C59" s="224"/>
      <c r="D59" s="224"/>
    </row>
    <row r="60" spans="1:4" s="133" customFormat="1" ht="15" customHeight="1">
      <c r="A60" s="226"/>
      <c r="B60" s="224"/>
      <c r="C60" s="224"/>
      <c r="D60" s="224"/>
    </row>
    <row r="61" spans="1:4" s="133" customFormat="1" ht="15" customHeight="1">
      <c r="A61" s="226"/>
      <c r="B61" s="224"/>
      <c r="C61" s="224"/>
      <c r="D61" s="224"/>
    </row>
    <row r="62" spans="1:4" s="133" customFormat="1" ht="15" customHeight="1">
      <c r="A62" s="226"/>
      <c r="B62" s="224"/>
      <c r="C62" s="224"/>
      <c r="D62" s="224"/>
    </row>
    <row r="63" spans="1:4" s="133" customFormat="1" ht="15" customHeight="1">
      <c r="A63" s="226"/>
      <c r="B63" s="224"/>
      <c r="C63" s="224"/>
      <c r="D63" s="224"/>
    </row>
    <row r="64" spans="1:4" s="133" customFormat="1" ht="15" customHeight="1">
      <c r="A64" s="226"/>
      <c r="B64" s="224"/>
      <c r="C64" s="224"/>
      <c r="D64" s="224"/>
    </row>
    <row r="65" s="133" customFormat="1" ht="15" customHeight="1">
      <c r="A65" s="226"/>
    </row>
    <row r="66" s="133" customFormat="1" ht="15" customHeight="1">
      <c r="A66" s="226"/>
    </row>
    <row r="67" s="133" customFormat="1" ht="15" customHeight="1">
      <c r="A67" s="226"/>
    </row>
    <row r="68" s="133" customFormat="1" ht="15" customHeight="1">
      <c r="A68" s="226"/>
    </row>
    <row r="69" s="133" customFormat="1" ht="15" customHeight="1">
      <c r="A69" s="226"/>
    </row>
    <row r="70" s="133" customFormat="1" ht="15" customHeight="1">
      <c r="A70" s="226"/>
    </row>
    <row r="71" s="133" customFormat="1" ht="15" customHeight="1">
      <c r="A71" s="226"/>
    </row>
    <row r="72" s="133" customFormat="1" ht="15" customHeight="1">
      <c r="A72" s="226"/>
    </row>
    <row r="73" s="133" customFormat="1" ht="15" customHeight="1">
      <c r="A73" s="226"/>
    </row>
    <row r="74" s="133" customFormat="1" ht="15" customHeight="1">
      <c r="A74" s="226"/>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sheetPr codeName="Sheet11"/>
  <dimension ref="A1:AL79"/>
  <sheetViews>
    <sheetView zoomScalePageLayoutView="0" workbookViewId="0" topLeftCell="A1">
      <selection activeCell="A1" sqref="A1"/>
    </sheetView>
  </sheetViews>
  <sheetFormatPr defaultColWidth="15.7109375" defaultRowHeight="15" customHeight="1"/>
  <cols>
    <col min="1" max="1" width="45.7109375" style="45" customWidth="1"/>
    <col min="2" max="2" width="19.00390625" style="171" customWidth="1"/>
    <col min="3" max="3" width="18.421875" style="171" customWidth="1"/>
    <col min="4" max="4" width="18.140625" style="171" customWidth="1"/>
    <col min="5" max="5" width="19.28125" style="46" customWidth="1"/>
    <col min="6" max="6" width="20.7109375" style="46" customWidth="1"/>
    <col min="7" max="7" width="15.7109375" style="46" customWidth="1"/>
    <col min="8" max="16384" width="15.7109375" style="45" customWidth="1"/>
  </cols>
  <sheetData>
    <row r="1" spans="1:7" s="275" customFormat="1" ht="30" customHeight="1">
      <c r="A1" s="280" t="s">
        <v>0</v>
      </c>
      <c r="B1" s="279"/>
      <c r="C1" s="279"/>
      <c r="D1" s="279"/>
      <c r="E1" s="278"/>
      <c r="F1" s="277"/>
      <c r="G1" s="276"/>
    </row>
    <row r="2" spans="1:6" ht="15" customHeight="1">
      <c r="A2" s="274"/>
      <c r="B2" s="273"/>
      <c r="C2" s="273"/>
      <c r="D2" s="273"/>
      <c r="E2" s="273"/>
      <c r="F2" s="267"/>
    </row>
    <row r="3" spans="1:7" s="165" customFormat="1" ht="15" customHeight="1">
      <c r="A3" s="272" t="s">
        <v>171</v>
      </c>
      <c r="B3" s="271"/>
      <c r="C3" s="271"/>
      <c r="D3" s="271"/>
      <c r="E3" s="270"/>
      <c r="F3" s="269"/>
      <c r="G3" s="166"/>
    </row>
    <row r="4" spans="1:7" s="165" customFormat="1" ht="15" customHeight="1">
      <c r="A4" s="272" t="s">
        <v>170</v>
      </c>
      <c r="B4" s="271"/>
      <c r="C4" s="271"/>
      <c r="D4" s="271"/>
      <c r="E4" s="270"/>
      <c r="F4" s="269"/>
      <c r="G4" s="166"/>
    </row>
    <row r="5" spans="1:7" s="165" customFormat="1" ht="15" customHeight="1">
      <c r="A5" s="72" t="s">
        <v>180</v>
      </c>
      <c r="B5" s="271"/>
      <c r="C5" s="271"/>
      <c r="D5" s="271"/>
      <c r="E5" s="270"/>
      <c r="F5" s="269"/>
      <c r="G5" s="166"/>
    </row>
    <row r="6" spans="1:6" ht="15" customHeight="1">
      <c r="A6" s="268"/>
      <c r="E6" s="267"/>
      <c r="F6" s="267"/>
    </row>
    <row r="7" spans="1:6" ht="30" customHeight="1">
      <c r="A7" s="128"/>
      <c r="B7" s="195" t="s">
        <v>176</v>
      </c>
      <c r="C7" s="195" t="s">
        <v>1</v>
      </c>
      <c r="D7" s="195" t="s">
        <v>2</v>
      </c>
      <c r="E7" s="195" t="s">
        <v>3</v>
      </c>
      <c r="F7" s="266" t="s">
        <v>4</v>
      </c>
    </row>
    <row r="8" spans="1:6" ht="30" customHeight="1">
      <c r="A8" s="265" t="s">
        <v>169</v>
      </c>
      <c r="B8" s="264"/>
      <c r="C8" s="264"/>
      <c r="D8" s="264"/>
      <c r="F8" s="263"/>
    </row>
    <row r="9" spans="1:37" ht="15" customHeight="1">
      <c r="A9" s="45" t="s">
        <v>5</v>
      </c>
      <c r="B9" s="132">
        <f>'[3]Loss Expenses Paid QTD-15'!K27</f>
        <v>6000.65</v>
      </c>
      <c r="C9" s="132">
        <f>'[3]Loss Expenses Paid QTD-15'!K21</f>
        <v>166638.15</v>
      </c>
      <c r="D9" s="132">
        <f>'[3]Loss Expenses Paid QTD-15'!K15</f>
        <v>11651.769999999999</v>
      </c>
      <c r="E9" s="149">
        <f>'[3]Loss Expenses Paid QTD-15'!K9</f>
        <v>0</v>
      </c>
      <c r="F9" s="132">
        <f>SUM(B9:E9)</f>
        <v>184290.56999999998</v>
      </c>
      <c r="G9" s="27"/>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row>
    <row r="10" spans="1:37" s="58" customFormat="1" ht="15" customHeight="1">
      <c r="A10" s="58" t="s">
        <v>6</v>
      </c>
      <c r="B10" s="27">
        <f>'[3]Loss Expenses Paid QTD-15'!K28</f>
        <v>6683.19</v>
      </c>
      <c r="C10" s="27">
        <f>'[3]Loss Expenses Paid QTD-15'!K22</f>
        <v>272540.18</v>
      </c>
      <c r="D10" s="27">
        <f>'[3]Loss Expenses Paid QTD-15'!K16</f>
        <v>38421.259999999995</v>
      </c>
      <c r="E10" s="149">
        <f>'[3]Loss Expenses Paid QTD-15'!K10</f>
        <v>0</v>
      </c>
      <c r="F10" s="27">
        <f>SUM(B10:E10)-1</f>
        <v>317643.63</v>
      </c>
      <c r="G10" s="27"/>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row>
    <row r="11" spans="1:37" s="58" customFormat="1" ht="15" customHeight="1">
      <c r="A11" s="58" t="s">
        <v>7</v>
      </c>
      <c r="B11" s="149">
        <f>'[3]Loss Expenses Paid QTD-15'!K29</f>
        <v>0</v>
      </c>
      <c r="C11" s="149">
        <f>'[3]Loss Expenses Paid QTD-15'!K23</f>
        <v>0</v>
      </c>
      <c r="D11" s="149">
        <f>'[3]Loss Expenses Paid QTD-15'!K17</f>
        <v>0</v>
      </c>
      <c r="E11" s="149">
        <f>'[3]Loss Expenses Paid QTD-15'!K11</f>
        <v>0</v>
      </c>
      <c r="F11" s="149">
        <f>SUM(B11:E11)</f>
        <v>0</v>
      </c>
      <c r="G11" s="27"/>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row>
    <row r="12" spans="1:37" s="58" customFormat="1" ht="15" customHeight="1" thickBot="1">
      <c r="A12" s="259" t="s">
        <v>144</v>
      </c>
      <c r="B12" s="258">
        <f>SUM(B9:B11)</f>
        <v>12683.84</v>
      </c>
      <c r="C12" s="258">
        <f>SUM(C9:C11)</f>
        <v>439178.32999999996</v>
      </c>
      <c r="D12" s="258">
        <f>SUM(D9:D11)</f>
        <v>50073.02999999999</v>
      </c>
      <c r="E12" s="262">
        <f>SUM(E9:E11)</f>
        <v>0</v>
      </c>
      <c r="F12" s="183">
        <f>SUM(F9:F11)+1</f>
        <v>501935.19999999995</v>
      </c>
      <c r="G12" s="149"/>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row>
    <row r="13" spans="2:37" s="58" customFormat="1" ht="15" customHeight="1" thickTop="1">
      <c r="B13" s="177"/>
      <c r="C13" s="177"/>
      <c r="D13" s="177"/>
      <c r="E13" s="27"/>
      <c r="F13" s="46"/>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row>
    <row r="14" spans="1:37" s="58" customFormat="1" ht="30" customHeight="1">
      <c r="A14" s="254" t="s">
        <v>178</v>
      </c>
      <c r="B14" s="177"/>
      <c r="C14" s="177"/>
      <c r="D14" s="177"/>
      <c r="E14" s="27"/>
      <c r="F14" s="149"/>
      <c r="G14" s="27"/>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row>
    <row r="15" spans="1:37" s="58" customFormat="1" ht="15" customHeight="1">
      <c r="A15" s="45" t="s">
        <v>5</v>
      </c>
      <c r="B15" s="27">
        <f>'[3]Unpaid Loss Expense Reserves-14'!B22</f>
        <v>40209.4</v>
      </c>
      <c r="C15" s="27">
        <f>'[3]Unpaid Loss Expense Reserves-14'!C22</f>
        <v>165804.06</v>
      </c>
      <c r="D15" s="27">
        <f>'[3]Unpaid Loss Expense Reserves-14'!D22</f>
        <v>37924.46000000001</v>
      </c>
      <c r="E15" s="149">
        <f>'[3]Unpaid Loss Expense Reserves-14'!E22</f>
        <v>0</v>
      </c>
      <c r="F15" s="27">
        <f>SUM(B15:E15)-1</f>
        <v>243936.91999999998</v>
      </c>
      <c r="G15" s="27"/>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row>
    <row r="16" spans="1:37" s="58" customFormat="1" ht="15" customHeight="1">
      <c r="A16" s="58" t="s">
        <v>6</v>
      </c>
      <c r="B16" s="27">
        <f>'[3]Unpaid Loss Expense Reserves-14'!B23</f>
        <v>37079.47</v>
      </c>
      <c r="C16" s="27">
        <f>'[3]Unpaid Loss Expense Reserves-14'!C23</f>
        <v>32794.53</v>
      </c>
      <c r="D16" s="27">
        <f>'[3]Unpaid Loss Expense Reserves-14'!D23</f>
        <v>38313.969999999994</v>
      </c>
      <c r="E16" s="149">
        <f>'[3]Unpaid Loss Expense Reserves-14'!E23</f>
        <v>0</v>
      </c>
      <c r="F16" s="27">
        <f>SUM(B16:E16)</f>
        <v>108187.97</v>
      </c>
      <c r="G16" s="27"/>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row>
    <row r="17" spans="1:37" s="58" customFormat="1" ht="15" customHeight="1">
      <c r="A17" s="58" t="s">
        <v>7</v>
      </c>
      <c r="B17" s="149">
        <f>'[3]Unpaid Loss Expense Reserves-14'!B24</f>
        <v>0</v>
      </c>
      <c r="C17" s="149">
        <f>'[3]Unpaid Loss Expense Reserves-14'!C24</f>
        <v>0</v>
      </c>
      <c r="D17" s="149">
        <f>'[3]Unpaid Loss Expense Reserves-14'!D24</f>
        <v>0</v>
      </c>
      <c r="E17" s="149">
        <f>'[3]Unpaid Loss Expense Reserves-14'!E24</f>
        <v>0</v>
      </c>
      <c r="F17" s="149">
        <f>SUM(B17:E17)</f>
        <v>0</v>
      </c>
      <c r="G17" s="27"/>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row>
    <row r="18" spans="1:37" s="58" customFormat="1" ht="15" customHeight="1" thickBot="1">
      <c r="A18" s="259" t="s">
        <v>144</v>
      </c>
      <c r="B18" s="258">
        <f>SUM(B15:B17)-1</f>
        <v>77287.87</v>
      </c>
      <c r="C18" s="258">
        <f>SUM(C15:C17)</f>
        <v>198598.59</v>
      </c>
      <c r="D18" s="258">
        <f>SUM(D15:D17)</f>
        <v>76238.43</v>
      </c>
      <c r="E18" s="262">
        <f>SUM(E15:E17)</f>
        <v>0</v>
      </c>
      <c r="F18" s="183">
        <f>SUM(F15:F17)</f>
        <v>352124.89</v>
      </c>
      <c r="G18" s="149"/>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row>
    <row r="19" spans="2:37" s="58" customFormat="1" ht="15" customHeight="1" thickTop="1">
      <c r="B19" s="177"/>
      <c r="C19" s="177"/>
      <c r="D19" s="177"/>
      <c r="E19" s="27"/>
      <c r="F19" s="46"/>
      <c r="G19" s="261"/>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row>
    <row r="20" spans="1:37" s="58" customFormat="1" ht="30" customHeight="1">
      <c r="A20" s="254" t="s">
        <v>181</v>
      </c>
      <c r="B20" s="185"/>
      <c r="C20" s="185"/>
      <c r="D20" s="185"/>
      <c r="E20" s="260"/>
      <c r="F20" s="149"/>
      <c r="G20" s="27"/>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row>
    <row r="21" spans="1:37" s="58" customFormat="1" ht="15" customHeight="1">
      <c r="A21" s="45" t="s">
        <v>5</v>
      </c>
      <c r="B21" s="27">
        <v>27511.11</v>
      </c>
      <c r="C21" s="27">
        <v>169107.96000000002</v>
      </c>
      <c r="D21" s="27">
        <v>55751.19</v>
      </c>
      <c r="E21" s="27">
        <v>25107.84</v>
      </c>
      <c r="F21" s="27">
        <f>SUM(B21:E21)</f>
        <v>277478.10000000003</v>
      </c>
      <c r="G21" s="27"/>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row>
    <row r="22" spans="1:37" s="58" customFormat="1" ht="15" customHeight="1">
      <c r="A22" s="58" t="s">
        <v>8</v>
      </c>
      <c r="B22" s="27">
        <v>573.14</v>
      </c>
      <c r="C22" s="27">
        <v>101638.17</v>
      </c>
      <c r="D22" s="27">
        <v>32742.42</v>
      </c>
      <c r="E22" s="149">
        <v>0</v>
      </c>
      <c r="F22" s="27">
        <f>SUM(B22:E22)-1</f>
        <v>134952.72999999998</v>
      </c>
      <c r="G22" s="27"/>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row>
    <row r="23" spans="1:37" s="58" customFormat="1" ht="15" customHeight="1">
      <c r="A23" s="58" t="s">
        <v>7</v>
      </c>
      <c r="B23" s="149">
        <v>0</v>
      </c>
      <c r="C23" s="149">
        <v>0</v>
      </c>
      <c r="D23" s="149">
        <v>0</v>
      </c>
      <c r="E23" s="149">
        <v>0</v>
      </c>
      <c r="F23" s="149">
        <f>SUM(B23:E23)</f>
        <v>0</v>
      </c>
      <c r="G23" s="27"/>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row>
    <row r="24" spans="1:37" s="58" customFormat="1" ht="15" customHeight="1" thickBot="1">
      <c r="A24" s="259" t="s">
        <v>144</v>
      </c>
      <c r="B24" s="258">
        <f>SUM(B21:B23)</f>
        <v>28084.25</v>
      </c>
      <c r="C24" s="258">
        <f>SUM(C21:C23)</f>
        <v>270746.13</v>
      </c>
      <c r="D24" s="258">
        <f>SUM(D21:D23)-1</f>
        <v>88492.61</v>
      </c>
      <c r="E24" s="258">
        <f>SUM(E21:E23)</f>
        <v>25107.84</v>
      </c>
      <c r="F24" s="183">
        <f>SUM(F21:F23)</f>
        <v>412430.83</v>
      </c>
      <c r="G24" s="149"/>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row>
    <row r="25" spans="2:37" s="255" customFormat="1" ht="15" customHeight="1" thickTop="1">
      <c r="B25" s="185"/>
      <c r="C25" s="185"/>
      <c r="D25" s="185"/>
      <c r="E25" s="185"/>
      <c r="F25" s="185"/>
      <c r="G25" s="257"/>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row>
    <row r="26" spans="1:37" s="58" customFormat="1" ht="30" customHeight="1">
      <c r="A26" s="254" t="s">
        <v>168</v>
      </c>
      <c r="B26" s="177"/>
      <c r="C26" s="177"/>
      <c r="D26" s="177"/>
      <c r="E26" s="177"/>
      <c r="F26" s="177"/>
      <c r="G26" s="27"/>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row>
    <row r="27" spans="1:37" s="58" customFormat="1" ht="15" customHeight="1">
      <c r="A27" s="58" t="s">
        <v>5</v>
      </c>
      <c r="B27" s="27">
        <f aca="true" t="shared" si="0" ref="B27:E29">B9+B15-B21</f>
        <v>18698.940000000002</v>
      </c>
      <c r="C27" s="27">
        <f t="shared" si="0"/>
        <v>163334.24999999994</v>
      </c>
      <c r="D27" s="292">
        <f>D9+D15-D21-1</f>
        <v>-6175.959999999999</v>
      </c>
      <c r="E27" s="292">
        <f>E9+E15-E21</f>
        <v>-25107.84</v>
      </c>
      <c r="F27" s="27">
        <f>SUM(B27:E27)+1</f>
        <v>150750.38999999996</v>
      </c>
      <c r="G27" s="27"/>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row>
    <row r="28" spans="1:37" s="58" customFormat="1" ht="15" customHeight="1">
      <c r="A28" s="58" t="s">
        <v>6</v>
      </c>
      <c r="B28" s="27">
        <f>B10+B16-B22-1</f>
        <v>43188.520000000004</v>
      </c>
      <c r="C28" s="27">
        <f t="shared" si="0"/>
        <v>203696.53999999998</v>
      </c>
      <c r="D28" s="27">
        <f>D10+D16-D22+1</f>
        <v>43993.80999999998</v>
      </c>
      <c r="E28" s="149">
        <f t="shared" si="0"/>
        <v>0</v>
      </c>
      <c r="F28" s="27">
        <f>SUM(B28:E28)</f>
        <v>290878.87</v>
      </c>
      <c r="G28" s="27"/>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row>
    <row r="29" spans="1:37" s="58" customFormat="1" ht="15" customHeight="1">
      <c r="A29" s="58" t="s">
        <v>7</v>
      </c>
      <c r="B29" s="149">
        <f t="shared" si="0"/>
        <v>0</v>
      </c>
      <c r="C29" s="149">
        <f t="shared" si="0"/>
        <v>0</v>
      </c>
      <c r="D29" s="149">
        <f t="shared" si="0"/>
        <v>0</v>
      </c>
      <c r="E29" s="149">
        <f t="shared" si="0"/>
        <v>0</v>
      </c>
      <c r="F29" s="149">
        <f>SUM(B29:E29)</f>
        <v>0</v>
      </c>
      <c r="G29" s="27"/>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7" ht="15" customHeight="1" thickBot="1">
      <c r="A30" s="74" t="s">
        <v>144</v>
      </c>
      <c r="B30" s="252">
        <f>SUM(B27:B29)+1</f>
        <v>61888.46000000001</v>
      </c>
      <c r="C30" s="252">
        <f>SUM(C27:C29)</f>
        <v>367030.7899999999</v>
      </c>
      <c r="D30" s="252">
        <f>SUM(D27:D29)</f>
        <v>37817.849999999984</v>
      </c>
      <c r="E30" s="252">
        <f>SUM(E27:E29)</f>
        <v>-25107.84</v>
      </c>
      <c r="F30" s="252">
        <f>SUM(F27:F29)</f>
        <v>441629.25999999995</v>
      </c>
      <c r="G30" s="27"/>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row>
    <row r="31" spans="2:38" ht="15" customHeight="1" thickTop="1">
      <c r="B31" s="172"/>
      <c r="C31" s="172"/>
      <c r="D31" s="172"/>
      <c r="F31" s="27"/>
      <c r="H31" s="251"/>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row>
    <row r="32" spans="2:38" s="46" customFormat="1" ht="15" customHeight="1">
      <c r="B32" s="172"/>
      <c r="C32" s="172"/>
      <c r="D32" s="172"/>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2:38" ht="15" customHeight="1">
      <c r="B33" s="172"/>
      <c r="C33" s="172"/>
      <c r="D33" s="172"/>
      <c r="F33" s="27"/>
      <c r="G33" s="27"/>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row>
    <row r="34" spans="2:38" ht="15" customHeight="1">
      <c r="B34" s="172"/>
      <c r="C34" s="172"/>
      <c r="D34" s="172"/>
      <c r="F34" s="27"/>
      <c r="G34" s="27"/>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row>
    <row r="35" spans="2:38" ht="15" customHeight="1">
      <c r="B35" s="172"/>
      <c r="C35" s="172"/>
      <c r="D35" s="172"/>
      <c r="F35" s="27"/>
      <c r="G35" s="27"/>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row>
    <row r="36" spans="2:38" ht="15" customHeight="1">
      <c r="B36" s="172"/>
      <c r="C36" s="172"/>
      <c r="D36" s="172"/>
      <c r="F36" s="27"/>
      <c r="G36" s="27"/>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row>
    <row r="37" spans="2:38" ht="15" customHeight="1">
      <c r="B37" s="172"/>
      <c r="C37" s="172"/>
      <c r="D37" s="172"/>
      <c r="F37" s="27"/>
      <c r="G37" s="27"/>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row>
    <row r="38" spans="6:38" ht="15" customHeight="1">
      <c r="F38" s="27"/>
      <c r="G38" s="27"/>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row>
    <row r="39" spans="6:38" ht="15" customHeight="1">
      <c r="F39" s="27"/>
      <c r="G39" s="27"/>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row>
    <row r="40" spans="6:38" ht="15" customHeight="1">
      <c r="F40" s="27"/>
      <c r="G40" s="27"/>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row>
    <row r="41" spans="6:38" ht="15" customHeight="1">
      <c r="F41" s="27"/>
      <c r="G41" s="27"/>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row>
    <row r="42" spans="6:38" ht="15" customHeight="1">
      <c r="F42" s="27"/>
      <c r="G42" s="27"/>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row>
    <row r="43" spans="6:38" ht="15" customHeight="1">
      <c r="F43" s="27"/>
      <c r="G43" s="27"/>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row>
    <row r="44" spans="6:38" ht="15" customHeight="1">
      <c r="F44" s="27"/>
      <c r="G44" s="27"/>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row>
    <row r="45" spans="6:38" ht="15" customHeight="1">
      <c r="F45" s="27"/>
      <c r="G45" s="27"/>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row>
    <row r="46" spans="6:38" ht="15" customHeight="1">
      <c r="F46" s="27"/>
      <c r="G46" s="27"/>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row>
    <row r="47" spans="6:38" ht="15" customHeight="1">
      <c r="F47" s="27"/>
      <c r="G47" s="27"/>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row>
    <row r="48" spans="6:38" ht="15" customHeight="1">
      <c r="F48" s="27"/>
      <c r="G48" s="27"/>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row>
    <row r="49" spans="6:38" s="45" customFormat="1" ht="15" customHeight="1">
      <c r="F49" s="27"/>
      <c r="G49" s="27"/>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row>
    <row r="50" spans="6:38" s="45" customFormat="1" ht="15" customHeight="1">
      <c r="F50" s="27"/>
      <c r="G50" s="27"/>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row>
    <row r="51" spans="6:38" s="45" customFormat="1" ht="15" customHeight="1">
      <c r="F51" s="27"/>
      <c r="G51" s="27"/>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row>
    <row r="52" spans="6:38" s="45" customFormat="1" ht="15" customHeight="1">
      <c r="F52" s="27"/>
      <c r="G52" s="27"/>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row>
    <row r="53" spans="6:38" s="45" customFormat="1" ht="15" customHeight="1">
      <c r="F53" s="27"/>
      <c r="G53" s="27"/>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row>
    <row r="54" spans="6:38" s="45" customFormat="1" ht="15" customHeight="1">
      <c r="F54" s="27"/>
      <c r="G54" s="27"/>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row>
    <row r="55" spans="6:38" s="45" customFormat="1" ht="15" customHeight="1">
      <c r="F55" s="27"/>
      <c r="G55" s="27"/>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row>
    <row r="56" spans="6:38" s="45" customFormat="1" ht="15" customHeight="1">
      <c r="F56" s="27"/>
      <c r="G56" s="27"/>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row>
    <row r="57" spans="6:38" s="45" customFormat="1" ht="15" customHeight="1">
      <c r="F57" s="27"/>
      <c r="G57" s="27"/>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row>
    <row r="58" spans="6:38" s="45" customFormat="1" ht="15" customHeight="1">
      <c r="F58" s="27"/>
      <c r="G58" s="27"/>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row>
    <row r="59" spans="6:38" s="45" customFormat="1" ht="15" customHeight="1">
      <c r="F59" s="27"/>
      <c r="G59" s="27"/>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row>
    <row r="60" spans="6:38" s="45" customFormat="1" ht="15" customHeight="1">
      <c r="F60" s="27"/>
      <c r="G60" s="27"/>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row>
    <row r="61" spans="6:38" s="45" customFormat="1" ht="15" customHeight="1">
      <c r="F61" s="27"/>
      <c r="G61" s="27"/>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row>
    <row r="62" spans="6:38" s="45" customFormat="1" ht="15" customHeight="1">
      <c r="F62" s="27"/>
      <c r="G62" s="27"/>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row>
    <row r="63" spans="6:38" s="45" customFormat="1" ht="15" customHeight="1">
      <c r="F63" s="27"/>
      <c r="G63" s="27"/>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row>
    <row r="64" spans="6:38" s="45" customFormat="1" ht="15" customHeight="1">
      <c r="F64" s="27"/>
      <c r="G64" s="27"/>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row>
    <row r="65" spans="6:38" s="45" customFormat="1" ht="15" customHeight="1">
      <c r="F65" s="27"/>
      <c r="G65" s="27"/>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row>
    <row r="66" spans="6:38" s="45" customFormat="1" ht="15" customHeight="1">
      <c r="F66" s="27"/>
      <c r="G66" s="27"/>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row>
    <row r="67" spans="6:38" s="45" customFormat="1" ht="15" customHeight="1">
      <c r="F67" s="27"/>
      <c r="G67" s="27"/>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row>
    <row r="68" spans="6:38" s="45" customFormat="1" ht="15" customHeight="1">
      <c r="F68" s="27"/>
      <c r="G68" s="27"/>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row>
    <row r="69" spans="6:38" s="45" customFormat="1" ht="15" customHeight="1">
      <c r="F69" s="27"/>
      <c r="G69" s="27"/>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row>
    <row r="70" spans="6:38" s="45" customFormat="1" ht="15" customHeight="1">
      <c r="F70" s="27"/>
      <c r="G70" s="27"/>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row>
    <row r="71" spans="6:38" s="45" customFormat="1" ht="15" customHeight="1">
      <c r="F71" s="27"/>
      <c r="G71" s="27"/>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row>
    <row r="72" spans="6:38" s="45" customFormat="1" ht="15" customHeight="1">
      <c r="F72" s="27"/>
      <c r="G72" s="27"/>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row>
    <row r="73" spans="6:38" s="45" customFormat="1" ht="15" customHeight="1">
      <c r="F73" s="27"/>
      <c r="G73" s="27"/>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row>
    <row r="74" spans="6:38" s="45" customFormat="1" ht="15" customHeight="1">
      <c r="F74" s="27"/>
      <c r="G74" s="27"/>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row>
    <row r="75" spans="6:38" s="45" customFormat="1" ht="15" customHeight="1">
      <c r="F75" s="27"/>
      <c r="G75" s="27"/>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row>
    <row r="76" spans="6:38" s="45" customFormat="1" ht="15" customHeight="1">
      <c r="F76" s="27"/>
      <c r="G76" s="27"/>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row>
    <row r="77" spans="6:38" s="45" customFormat="1" ht="15" customHeight="1">
      <c r="F77" s="27"/>
      <c r="G77" s="27"/>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row>
    <row r="78" spans="6:38" s="45" customFormat="1" ht="15" customHeight="1">
      <c r="F78" s="27"/>
      <c r="G78" s="27"/>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row>
    <row r="79" spans="6:38" s="45" customFormat="1" ht="15" customHeight="1">
      <c r="F79" s="27"/>
      <c r="G79" s="27"/>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row>
  </sheetData>
  <sheetProtection/>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sheetPr codeName="Sheet12"/>
  <dimension ref="A1:AL79"/>
  <sheetViews>
    <sheetView zoomScalePageLayoutView="0" workbookViewId="0" topLeftCell="A1">
      <selection activeCell="A1" sqref="A1"/>
    </sheetView>
  </sheetViews>
  <sheetFormatPr defaultColWidth="15.7109375" defaultRowHeight="15" customHeight="1"/>
  <cols>
    <col min="1" max="1" width="45.7109375" style="45" customWidth="1"/>
    <col min="2" max="2" width="19.00390625" style="171" customWidth="1"/>
    <col min="3" max="3" width="18.421875" style="171" customWidth="1"/>
    <col min="4" max="4" width="18.140625" style="171" customWidth="1"/>
    <col min="5" max="5" width="19.421875" style="46" customWidth="1"/>
    <col min="6" max="6" width="20.7109375" style="46" customWidth="1"/>
    <col min="7" max="7" width="15.7109375" style="46" customWidth="1"/>
    <col min="8" max="16384" width="15.7109375" style="45" customWidth="1"/>
  </cols>
  <sheetData>
    <row r="1" spans="1:7" s="275" customFormat="1" ht="30" customHeight="1">
      <c r="A1" s="280" t="s">
        <v>0</v>
      </c>
      <c r="B1" s="279"/>
      <c r="C1" s="279"/>
      <c r="D1" s="279"/>
      <c r="E1" s="278"/>
      <c r="F1" s="277"/>
      <c r="G1" s="276"/>
    </row>
    <row r="2" spans="1:6" ht="15" customHeight="1">
      <c r="A2" s="274"/>
      <c r="B2" s="273"/>
      <c r="C2" s="273"/>
      <c r="D2" s="273"/>
      <c r="E2" s="273"/>
      <c r="F2" s="267"/>
    </row>
    <row r="3" spans="1:7" s="165" customFormat="1" ht="15" customHeight="1">
      <c r="A3" s="272" t="s">
        <v>171</v>
      </c>
      <c r="B3" s="271"/>
      <c r="C3" s="271"/>
      <c r="D3" s="271"/>
      <c r="E3" s="270"/>
      <c r="F3" s="269"/>
      <c r="G3" s="166"/>
    </row>
    <row r="4" spans="1:7" s="165" customFormat="1" ht="15" customHeight="1">
      <c r="A4" s="272" t="s">
        <v>170</v>
      </c>
      <c r="B4" s="271"/>
      <c r="C4" s="271"/>
      <c r="D4" s="271"/>
      <c r="E4" s="270"/>
      <c r="F4" s="269"/>
      <c r="G4" s="166"/>
    </row>
    <row r="5" spans="1:7" s="165" customFormat="1" ht="15" customHeight="1">
      <c r="A5" s="72" t="s">
        <v>177</v>
      </c>
      <c r="B5" s="271"/>
      <c r="C5" s="271"/>
      <c r="D5" s="271"/>
      <c r="E5" s="270"/>
      <c r="F5" s="269"/>
      <c r="G5" s="166"/>
    </row>
    <row r="6" spans="1:6" ht="15" customHeight="1">
      <c r="A6" s="268"/>
      <c r="E6" s="267"/>
      <c r="F6" s="267"/>
    </row>
    <row r="7" spans="1:6" ht="30" customHeight="1">
      <c r="A7" s="128"/>
      <c r="B7" s="195" t="s">
        <v>176</v>
      </c>
      <c r="C7" s="195" t="s">
        <v>1</v>
      </c>
      <c r="D7" s="195" t="s">
        <v>2</v>
      </c>
      <c r="E7" s="195" t="s">
        <v>3</v>
      </c>
      <c r="F7" s="266" t="s">
        <v>4</v>
      </c>
    </row>
    <row r="8" spans="1:6" ht="30" customHeight="1">
      <c r="A8" s="265" t="s">
        <v>169</v>
      </c>
      <c r="B8" s="264"/>
      <c r="C8" s="264"/>
      <c r="D8" s="264"/>
      <c r="F8" s="263"/>
    </row>
    <row r="9" spans="1:37" ht="15" customHeight="1">
      <c r="A9" s="45" t="s">
        <v>5</v>
      </c>
      <c r="B9" s="132">
        <f>'[3]Loss Expenses Paid YTD-16'!K27</f>
        <v>6000.65</v>
      </c>
      <c r="C9" s="132">
        <f>'[3]Loss Expenses Paid YTD-16'!K21</f>
        <v>235397.56</v>
      </c>
      <c r="D9" s="132">
        <f>'[3]Loss Expenses Paid YTD-16'!K15</f>
        <v>40008.29</v>
      </c>
      <c r="E9" s="149">
        <f>'[3]Loss Expenses Paid YTD-16'!K9</f>
        <v>0</v>
      </c>
      <c r="F9" s="132">
        <f>SUM(B9:E9)</f>
        <v>281406.5</v>
      </c>
      <c r="G9" s="27"/>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row>
    <row r="10" spans="1:37" s="58" customFormat="1" ht="15" customHeight="1">
      <c r="A10" s="58" t="s">
        <v>6</v>
      </c>
      <c r="B10" s="27">
        <f>'[3]Loss Expenses Paid YTD-16'!K28</f>
        <v>8153.66</v>
      </c>
      <c r="C10" s="27">
        <f>'[3]Loss Expenses Paid YTD-16'!K22</f>
        <v>1226819.82</v>
      </c>
      <c r="D10" s="27">
        <f>'[3]Loss Expenses Paid YTD-16'!K16</f>
        <v>217363.32</v>
      </c>
      <c r="E10" s="149">
        <f>'[3]Loss Expenses Paid YTD-16'!K10</f>
        <v>0</v>
      </c>
      <c r="F10" s="27">
        <f>SUM(B10:E10)</f>
        <v>1452336.8</v>
      </c>
      <c r="G10" s="27"/>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row>
    <row r="11" spans="1:37" s="58" customFormat="1" ht="15" customHeight="1">
      <c r="A11" s="58" t="s">
        <v>7</v>
      </c>
      <c r="B11" s="149">
        <f>'[3]Loss Expenses Paid YTD-16'!K29</f>
        <v>0</v>
      </c>
      <c r="C11" s="149">
        <f>'[3]Loss Expenses Paid YTD-16'!K23</f>
        <v>0</v>
      </c>
      <c r="D11" s="149">
        <f>'[3]Loss Expenses Paid YTD-16'!K17</f>
        <v>0</v>
      </c>
      <c r="E11" s="149">
        <f>'[3]Loss Expenses Paid YTD-16'!K11</f>
        <v>0</v>
      </c>
      <c r="F11" s="149">
        <f>SUM(B11:E11)</f>
        <v>0</v>
      </c>
      <c r="G11" s="27"/>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row>
    <row r="12" spans="1:37" s="58" customFormat="1" ht="15" customHeight="1" thickBot="1">
      <c r="A12" s="259" t="s">
        <v>144</v>
      </c>
      <c r="B12" s="258">
        <f>SUM(B9:B11)+1</f>
        <v>14155.31</v>
      </c>
      <c r="C12" s="258">
        <f>SUM(C9:C11)+1</f>
        <v>1462218.3800000001</v>
      </c>
      <c r="D12" s="258">
        <f>SUM(D9:D11)-1</f>
        <v>257370.61000000002</v>
      </c>
      <c r="E12" s="262">
        <f>SUM(E9:E11)</f>
        <v>0</v>
      </c>
      <c r="F12" s="183">
        <f>SUM(F9:F11)+1</f>
        <v>1733744.3</v>
      </c>
      <c r="G12" s="149"/>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row>
    <row r="13" spans="2:37" s="58" customFormat="1" ht="15" customHeight="1" thickTop="1">
      <c r="B13" s="177"/>
      <c r="C13" s="177"/>
      <c r="D13" s="177"/>
      <c r="E13" s="27"/>
      <c r="F13" s="46"/>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row>
    <row r="14" spans="1:37" s="58" customFormat="1" ht="30" customHeight="1">
      <c r="A14" s="254" t="s">
        <v>178</v>
      </c>
      <c r="B14" s="177"/>
      <c r="C14" s="177"/>
      <c r="D14" s="177"/>
      <c r="E14" s="27"/>
      <c r="F14" s="149"/>
      <c r="G14" s="27"/>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row>
    <row r="15" spans="1:37" s="58" customFormat="1" ht="15" customHeight="1">
      <c r="A15" s="45" t="s">
        <v>5</v>
      </c>
      <c r="B15" s="27">
        <f>'[3]Unpaid Loss Expense Reserves-14'!B22</f>
        <v>40209.4</v>
      </c>
      <c r="C15" s="27">
        <f>'[3]Unpaid Loss Expense Reserves-14'!C22</f>
        <v>165804.06</v>
      </c>
      <c r="D15" s="27">
        <f>'[3]Unpaid Loss Expense Reserves-14'!D22</f>
        <v>37924.46000000001</v>
      </c>
      <c r="E15" s="149">
        <f>'[3]Unpaid Loss Expense Reserves-14'!E22</f>
        <v>0</v>
      </c>
      <c r="F15" s="27">
        <f>SUM(B15:E15)-1</f>
        <v>243936.91999999998</v>
      </c>
      <c r="G15" s="27"/>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row>
    <row r="16" spans="1:37" s="58" customFormat="1" ht="15" customHeight="1">
      <c r="A16" s="58" t="s">
        <v>6</v>
      </c>
      <c r="B16" s="27">
        <f>'[3]Unpaid Loss Expense Reserves-14'!B23</f>
        <v>37079.47</v>
      </c>
      <c r="C16" s="27">
        <f>'[3]Unpaid Loss Expense Reserves-14'!C23</f>
        <v>32794.53</v>
      </c>
      <c r="D16" s="27">
        <f>'[3]Unpaid Loss Expense Reserves-14'!D23</f>
        <v>38313.969999999994</v>
      </c>
      <c r="E16" s="149">
        <f>'[3]Unpaid Loss Expense Reserves-14'!E23</f>
        <v>0</v>
      </c>
      <c r="F16" s="27">
        <f>SUM(B16:E16)</f>
        <v>108187.97</v>
      </c>
      <c r="G16" s="27"/>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row>
    <row r="17" spans="1:37" s="58" customFormat="1" ht="15" customHeight="1">
      <c r="A17" s="58" t="s">
        <v>7</v>
      </c>
      <c r="B17" s="149">
        <f>'[3]Unpaid Loss Expense Reserves-14'!B24</f>
        <v>0</v>
      </c>
      <c r="C17" s="149">
        <f>'[3]Unpaid Loss Expense Reserves-14'!C24</f>
        <v>0</v>
      </c>
      <c r="D17" s="149">
        <f>'[3]Unpaid Loss Expense Reserves-14'!D24</f>
        <v>0</v>
      </c>
      <c r="E17" s="149">
        <f>'[3]Unpaid Loss Expense Reserves-14'!E24</f>
        <v>0</v>
      </c>
      <c r="F17" s="149">
        <f>SUM(B17:E17)</f>
        <v>0</v>
      </c>
      <c r="G17" s="27"/>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row>
    <row r="18" spans="1:37" s="58" customFormat="1" ht="15" customHeight="1" thickBot="1">
      <c r="A18" s="259" t="s">
        <v>144</v>
      </c>
      <c r="B18" s="258">
        <f>SUM(B15:B17)-1</f>
        <v>77287.87</v>
      </c>
      <c r="C18" s="258">
        <f>SUM(C15:C17)</f>
        <v>198598.59</v>
      </c>
      <c r="D18" s="258">
        <f>SUM(D15:D17)</f>
        <v>76238.43</v>
      </c>
      <c r="E18" s="262">
        <f>SUM(E15:E17)</f>
        <v>0</v>
      </c>
      <c r="F18" s="183">
        <f>SUM(F15:F17)</f>
        <v>352124.89</v>
      </c>
      <c r="G18" s="149"/>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row>
    <row r="19" spans="2:37" s="58" customFormat="1" ht="15" customHeight="1" thickTop="1">
      <c r="B19" s="177"/>
      <c r="C19" s="177"/>
      <c r="D19" s="177"/>
      <c r="E19" s="27"/>
      <c r="F19" s="46"/>
      <c r="G19" s="261"/>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row>
    <row r="20" spans="1:37" s="58" customFormat="1" ht="30" customHeight="1">
      <c r="A20" s="254" t="s">
        <v>179</v>
      </c>
      <c r="B20" s="185"/>
      <c r="C20" s="185"/>
      <c r="D20" s="185"/>
      <c r="E20" s="260"/>
      <c r="F20" s="149"/>
      <c r="G20" s="27"/>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row>
    <row r="21" spans="1:37" s="58" customFormat="1" ht="15" customHeight="1">
      <c r="A21" s="45" t="s">
        <v>5</v>
      </c>
      <c r="B21" s="149">
        <v>0</v>
      </c>
      <c r="C21" s="27">
        <v>41018.259999999995</v>
      </c>
      <c r="D21" s="27">
        <v>34244.11</v>
      </c>
      <c r="E21" s="27">
        <v>31637.39</v>
      </c>
      <c r="F21" s="27">
        <f>SUM(B21:E21)-1</f>
        <v>106898.76</v>
      </c>
      <c r="G21" s="27"/>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row>
    <row r="22" spans="1:37" s="58" customFormat="1" ht="15" customHeight="1">
      <c r="A22" s="58" t="s">
        <v>8</v>
      </c>
      <c r="B22" s="149">
        <v>0</v>
      </c>
      <c r="C22" s="27">
        <v>164053.54</v>
      </c>
      <c r="D22" s="27">
        <v>108649.31</v>
      </c>
      <c r="E22" s="149">
        <v>0</v>
      </c>
      <c r="F22" s="27">
        <f>SUM(B22:E22)</f>
        <v>272702.85</v>
      </c>
      <c r="G22" s="27"/>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row>
    <row r="23" spans="1:37" s="58" customFormat="1" ht="15" customHeight="1">
      <c r="A23" s="58" t="s">
        <v>7</v>
      </c>
      <c r="B23" s="149">
        <v>0</v>
      </c>
      <c r="C23" s="149">
        <v>0</v>
      </c>
      <c r="D23" s="149">
        <v>0</v>
      </c>
      <c r="E23" s="149">
        <v>0</v>
      </c>
      <c r="F23" s="149">
        <f>SUM(B23:E23)</f>
        <v>0</v>
      </c>
      <c r="G23" s="27"/>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row>
    <row r="24" spans="1:37" s="58" customFormat="1" ht="15" customHeight="1" thickBot="1">
      <c r="A24" s="259" t="s">
        <v>144</v>
      </c>
      <c r="B24" s="262">
        <f>SUM(B21:B23)</f>
        <v>0</v>
      </c>
      <c r="C24" s="258">
        <f>SUM(C21:C23)</f>
        <v>205071.8</v>
      </c>
      <c r="D24" s="258">
        <f>SUM(D21:D23)</f>
        <v>142893.41999999998</v>
      </c>
      <c r="E24" s="258">
        <f>SUM(E21:E23)</f>
        <v>31637.39</v>
      </c>
      <c r="F24" s="183">
        <f>SUM(F21:F23)</f>
        <v>379601.61</v>
      </c>
      <c r="G24" s="149"/>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row>
    <row r="25" spans="2:37" s="255" customFormat="1" ht="15" customHeight="1" thickTop="1">
      <c r="B25" s="185"/>
      <c r="C25" s="185"/>
      <c r="D25" s="185"/>
      <c r="E25" s="185"/>
      <c r="F25" s="185"/>
      <c r="G25" s="257"/>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row>
    <row r="26" spans="1:37" s="58" customFormat="1" ht="30" customHeight="1">
      <c r="A26" s="254" t="s">
        <v>168</v>
      </c>
      <c r="B26" s="177"/>
      <c r="C26" s="177"/>
      <c r="D26" s="177"/>
      <c r="E26" s="177"/>
      <c r="F26" s="177"/>
      <c r="G26" s="27"/>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row>
    <row r="27" spans="1:37" s="58" customFormat="1" ht="15" customHeight="1">
      <c r="A27" s="58" t="s">
        <v>5</v>
      </c>
      <c r="B27" s="27">
        <f aca="true" t="shared" si="0" ref="B27:E29">B9+B15-B21</f>
        <v>46210.05</v>
      </c>
      <c r="C27" s="27">
        <f>C9+C15-C21+1</f>
        <v>360184.36</v>
      </c>
      <c r="D27" s="27">
        <f>D9+D15-D21-1</f>
        <v>43687.64</v>
      </c>
      <c r="E27" s="292">
        <f t="shared" si="0"/>
        <v>-31637.39</v>
      </c>
      <c r="F27" s="27">
        <f>SUM(B27:E27)</f>
        <v>418444.66</v>
      </c>
      <c r="G27" s="27"/>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row>
    <row r="28" spans="1:37" s="58" customFormat="1" ht="15" customHeight="1">
      <c r="A28" s="58" t="s">
        <v>6</v>
      </c>
      <c r="B28" s="27">
        <f t="shared" si="0"/>
        <v>45233.130000000005</v>
      </c>
      <c r="C28" s="27">
        <f t="shared" si="0"/>
        <v>1095560.81</v>
      </c>
      <c r="D28" s="27">
        <f t="shared" si="0"/>
        <v>147027.98</v>
      </c>
      <c r="E28" s="149">
        <f t="shared" si="0"/>
        <v>0</v>
      </c>
      <c r="F28" s="27">
        <f>SUM(B28:E28)</f>
        <v>1287821.92</v>
      </c>
      <c r="G28" s="27"/>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row>
    <row r="29" spans="1:37" s="58" customFormat="1" ht="15" customHeight="1">
      <c r="A29" s="58" t="s">
        <v>7</v>
      </c>
      <c r="B29" s="149">
        <f t="shared" si="0"/>
        <v>0</v>
      </c>
      <c r="C29" s="149">
        <f t="shared" si="0"/>
        <v>0</v>
      </c>
      <c r="D29" s="149">
        <f t="shared" si="0"/>
        <v>0</v>
      </c>
      <c r="E29" s="149">
        <f t="shared" si="0"/>
        <v>0</v>
      </c>
      <c r="F29" s="149">
        <f>SUM(B29:E29)</f>
        <v>0</v>
      </c>
      <c r="G29" s="27"/>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7" ht="15" customHeight="1" thickBot="1">
      <c r="A30" s="74" t="s">
        <v>144</v>
      </c>
      <c r="B30" s="252">
        <f>SUM(B27:B29)</f>
        <v>91443.18000000001</v>
      </c>
      <c r="C30" s="252">
        <f>SUM(C27:C29)</f>
        <v>1455745.17</v>
      </c>
      <c r="D30" s="252">
        <f>SUM(D27:D29)</f>
        <v>190715.62</v>
      </c>
      <c r="E30" s="252">
        <f>SUM(E27:E29)</f>
        <v>-31637.39</v>
      </c>
      <c r="F30" s="252">
        <f>SUM(F27:F29)</f>
        <v>1706266.5799999998</v>
      </c>
      <c r="G30" s="27"/>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row>
    <row r="31" spans="2:38" ht="15" customHeight="1" thickTop="1">
      <c r="B31" s="172"/>
      <c r="C31" s="172"/>
      <c r="D31" s="172"/>
      <c r="F31" s="27"/>
      <c r="H31" s="251"/>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row>
    <row r="32" spans="2:38" s="46" customFormat="1" ht="15" customHeight="1">
      <c r="B32" s="172"/>
      <c r="C32" s="172"/>
      <c r="D32" s="172"/>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2:38" ht="15" customHeight="1">
      <c r="B33" s="172"/>
      <c r="C33" s="172"/>
      <c r="D33" s="172"/>
      <c r="F33" s="27"/>
      <c r="G33" s="27"/>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row>
    <row r="34" spans="2:38" ht="15" customHeight="1">
      <c r="B34" s="172"/>
      <c r="C34" s="172"/>
      <c r="D34" s="172"/>
      <c r="F34" s="27"/>
      <c r="G34" s="27"/>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row>
    <row r="35" spans="2:38" ht="15" customHeight="1">
      <c r="B35" s="172"/>
      <c r="C35" s="172"/>
      <c r="D35" s="172"/>
      <c r="F35" s="27"/>
      <c r="G35" s="27"/>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row>
    <row r="36" spans="2:38" ht="15" customHeight="1">
      <c r="B36" s="172"/>
      <c r="C36" s="172"/>
      <c r="D36" s="172"/>
      <c r="F36" s="27"/>
      <c r="G36" s="27"/>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row>
    <row r="37" spans="2:38" ht="15" customHeight="1">
      <c r="B37" s="172"/>
      <c r="C37" s="172"/>
      <c r="D37" s="172"/>
      <c r="F37" s="27"/>
      <c r="G37" s="27"/>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row>
    <row r="38" spans="6:38" ht="15" customHeight="1">
      <c r="F38" s="27"/>
      <c r="G38" s="27"/>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row>
    <row r="39" spans="6:38" ht="15" customHeight="1">
      <c r="F39" s="27"/>
      <c r="G39" s="27"/>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row>
    <row r="40" spans="6:38" ht="15" customHeight="1">
      <c r="F40" s="27"/>
      <c r="G40" s="27"/>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row>
    <row r="41" spans="6:38" ht="15" customHeight="1">
      <c r="F41" s="27"/>
      <c r="G41" s="27"/>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row>
    <row r="42" spans="6:38" ht="15" customHeight="1">
      <c r="F42" s="27"/>
      <c r="G42" s="27"/>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row>
    <row r="43" spans="6:38" ht="15" customHeight="1">
      <c r="F43" s="27"/>
      <c r="G43" s="27"/>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row>
    <row r="44" spans="6:38" ht="15" customHeight="1">
      <c r="F44" s="27"/>
      <c r="G44" s="27"/>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row>
    <row r="45" spans="6:38" ht="15" customHeight="1">
      <c r="F45" s="27"/>
      <c r="G45" s="27"/>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row>
    <row r="46" spans="6:38" ht="15" customHeight="1">
      <c r="F46" s="27"/>
      <c r="G46" s="27"/>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row>
    <row r="47" spans="6:38" ht="15" customHeight="1">
      <c r="F47" s="27"/>
      <c r="G47" s="27"/>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row>
    <row r="48" spans="6:38" ht="15" customHeight="1">
      <c r="F48" s="27"/>
      <c r="G48" s="27"/>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row>
    <row r="49" spans="6:38" s="45" customFormat="1" ht="15" customHeight="1">
      <c r="F49" s="27"/>
      <c r="G49" s="27"/>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row>
    <row r="50" spans="6:38" s="45" customFormat="1" ht="15" customHeight="1">
      <c r="F50" s="27"/>
      <c r="G50" s="27"/>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row>
    <row r="51" spans="6:38" s="45" customFormat="1" ht="15" customHeight="1">
      <c r="F51" s="27"/>
      <c r="G51" s="27"/>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row>
    <row r="52" spans="6:38" s="45" customFormat="1" ht="15" customHeight="1">
      <c r="F52" s="27"/>
      <c r="G52" s="27"/>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row>
    <row r="53" spans="6:38" s="45" customFormat="1" ht="15" customHeight="1">
      <c r="F53" s="27"/>
      <c r="G53" s="27"/>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row>
    <row r="54" spans="6:38" s="45" customFormat="1" ht="15" customHeight="1">
      <c r="F54" s="27"/>
      <c r="G54" s="27"/>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row>
    <row r="55" spans="6:38" s="45" customFormat="1" ht="15" customHeight="1">
      <c r="F55" s="27"/>
      <c r="G55" s="27"/>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row>
    <row r="56" spans="6:38" s="45" customFormat="1" ht="15" customHeight="1">
      <c r="F56" s="27"/>
      <c r="G56" s="27"/>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row>
    <row r="57" spans="6:38" s="45" customFormat="1" ht="15" customHeight="1">
      <c r="F57" s="27"/>
      <c r="G57" s="27"/>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row>
    <row r="58" spans="6:38" s="45" customFormat="1" ht="15" customHeight="1">
      <c r="F58" s="27"/>
      <c r="G58" s="27"/>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row>
    <row r="59" spans="6:38" s="45" customFormat="1" ht="15" customHeight="1">
      <c r="F59" s="27"/>
      <c r="G59" s="27"/>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row>
    <row r="60" spans="6:38" s="45" customFormat="1" ht="15" customHeight="1">
      <c r="F60" s="27"/>
      <c r="G60" s="27"/>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row>
    <row r="61" spans="6:38" s="45" customFormat="1" ht="15" customHeight="1">
      <c r="F61" s="27"/>
      <c r="G61" s="27"/>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row>
    <row r="62" spans="6:38" s="45" customFormat="1" ht="15" customHeight="1">
      <c r="F62" s="27"/>
      <c r="G62" s="27"/>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row>
    <row r="63" spans="6:38" s="45" customFormat="1" ht="15" customHeight="1">
      <c r="F63" s="27"/>
      <c r="G63" s="27"/>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row>
    <row r="64" spans="6:38" s="45" customFormat="1" ht="15" customHeight="1">
      <c r="F64" s="27"/>
      <c r="G64" s="27"/>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row>
    <row r="65" spans="6:38" s="45" customFormat="1" ht="15" customHeight="1">
      <c r="F65" s="27"/>
      <c r="G65" s="27"/>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row>
    <row r="66" spans="6:38" s="45" customFormat="1" ht="15" customHeight="1">
      <c r="F66" s="27"/>
      <c r="G66" s="27"/>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row>
    <row r="67" spans="6:38" s="45" customFormat="1" ht="15" customHeight="1">
      <c r="F67" s="27"/>
      <c r="G67" s="27"/>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row>
    <row r="68" spans="6:38" s="45" customFormat="1" ht="15" customHeight="1">
      <c r="F68" s="27"/>
      <c r="G68" s="27"/>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row>
    <row r="69" spans="6:38" s="45" customFormat="1" ht="15" customHeight="1">
      <c r="F69" s="27"/>
      <c r="G69" s="27"/>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row>
    <row r="70" spans="6:38" s="45" customFormat="1" ht="15" customHeight="1">
      <c r="F70" s="27"/>
      <c r="G70" s="27"/>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row>
    <row r="71" spans="6:38" s="45" customFormat="1" ht="15" customHeight="1">
      <c r="F71" s="27"/>
      <c r="G71" s="27"/>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row>
    <row r="72" spans="6:38" s="45" customFormat="1" ht="15" customHeight="1">
      <c r="F72" s="27"/>
      <c r="G72" s="27"/>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row>
    <row r="73" spans="6:38" s="45" customFormat="1" ht="15" customHeight="1">
      <c r="F73" s="27"/>
      <c r="G73" s="27"/>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row>
    <row r="74" spans="6:38" s="45" customFormat="1" ht="15" customHeight="1">
      <c r="F74" s="27"/>
      <c r="G74" s="27"/>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row>
    <row r="75" spans="6:38" s="45" customFormat="1" ht="15" customHeight="1">
      <c r="F75" s="27"/>
      <c r="G75" s="27"/>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row>
    <row r="76" spans="6:38" s="45" customFormat="1" ht="15" customHeight="1">
      <c r="F76" s="27"/>
      <c r="G76" s="27"/>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row>
    <row r="77" spans="6:38" s="45" customFormat="1" ht="15" customHeight="1">
      <c r="F77" s="27"/>
      <c r="G77" s="27"/>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row>
    <row r="78" spans="6:38" s="45" customFormat="1" ht="15" customHeight="1">
      <c r="F78" s="27"/>
      <c r="G78" s="27"/>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row>
    <row r="79" spans="6:38" s="45" customFormat="1" ht="15" customHeight="1">
      <c r="F79" s="27"/>
      <c r="G79" s="27"/>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row>
  </sheetData>
  <sheetProtection/>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sheetPr codeName="Sheet2"/>
  <dimension ref="A1:G47"/>
  <sheetViews>
    <sheetView zoomScalePageLayoutView="0" workbookViewId="0" topLeftCell="A1">
      <selection activeCell="A1" sqref="A1:E1"/>
    </sheetView>
  </sheetViews>
  <sheetFormatPr defaultColWidth="15.7109375" defaultRowHeight="15" customHeight="1"/>
  <cols>
    <col min="1" max="1" width="64.140625" style="45" bestFit="1" customWidth="1"/>
    <col min="2" max="2" width="11.57421875" style="46" bestFit="1" customWidth="1"/>
    <col min="3" max="3" width="14.57421875" style="46" bestFit="1" customWidth="1"/>
    <col min="4" max="4" width="11.57421875" style="45" bestFit="1" customWidth="1"/>
    <col min="5" max="5" width="14.57421875" style="45" bestFit="1" customWidth="1"/>
    <col min="6" max="16384" width="15.7109375" style="45" customWidth="1"/>
  </cols>
  <sheetData>
    <row r="1" spans="1:5" s="74" customFormat="1" ht="30" customHeight="1">
      <c r="A1" s="316" t="s">
        <v>0</v>
      </c>
      <c r="B1" s="316"/>
      <c r="C1" s="316"/>
      <c r="D1" s="316"/>
      <c r="E1" s="316"/>
    </row>
    <row r="2" spans="1:3" s="73" customFormat="1" ht="15" customHeight="1">
      <c r="A2" s="319"/>
      <c r="B2" s="319"/>
      <c r="C2" s="319"/>
    </row>
    <row r="3" spans="1:5" s="70" customFormat="1" ht="15" customHeight="1">
      <c r="A3" s="320" t="s">
        <v>66</v>
      </c>
      <c r="B3" s="320"/>
      <c r="C3" s="320"/>
      <c r="D3" s="320"/>
      <c r="E3" s="320"/>
    </row>
    <row r="4" spans="1:5" s="70" customFormat="1" ht="15" customHeight="1">
      <c r="A4" s="321" t="s">
        <v>183</v>
      </c>
      <c r="B4" s="320"/>
      <c r="C4" s="320"/>
      <c r="D4" s="320"/>
      <c r="E4" s="320"/>
    </row>
    <row r="5" spans="1:3" s="70" customFormat="1" ht="15" customHeight="1">
      <c r="A5" s="72"/>
      <c r="B5" s="71"/>
      <c r="C5" s="71"/>
    </row>
    <row r="6" spans="1:5" ht="15" customHeight="1">
      <c r="A6" s="52"/>
      <c r="B6" s="69" t="s">
        <v>65</v>
      </c>
      <c r="C6" s="68"/>
      <c r="D6" s="69" t="s">
        <v>64</v>
      </c>
      <c r="E6" s="68"/>
    </row>
    <row r="7" spans="1:5" ht="15" customHeight="1">
      <c r="A7" s="52"/>
      <c r="B7" s="66"/>
      <c r="C7" s="67"/>
      <c r="D7" s="66"/>
      <c r="E7" s="67"/>
    </row>
    <row r="8" spans="1:5" ht="15" customHeight="1">
      <c r="A8" s="59" t="s">
        <v>63</v>
      </c>
      <c r="B8" s="66"/>
      <c r="C8" s="65"/>
      <c r="D8" s="66"/>
      <c r="E8" s="65"/>
    </row>
    <row r="9" spans="1:5" ht="15" customHeight="1">
      <c r="A9" s="59"/>
      <c r="B9" s="66"/>
      <c r="C9" s="65"/>
      <c r="D9" s="66"/>
      <c r="E9" s="65"/>
    </row>
    <row r="10" spans="1:5" ht="15" customHeight="1">
      <c r="A10" s="52" t="s">
        <v>62</v>
      </c>
      <c r="B10" s="49"/>
      <c r="C10" s="64">
        <f>'Earned Incurred QTD-5'!D16</f>
        <v>2738589.5700000003</v>
      </c>
      <c r="D10" s="49"/>
      <c r="E10" s="64">
        <f>'Earned Incurred YTD-6'!D16</f>
        <v>5454746.830000001</v>
      </c>
    </row>
    <row r="11" spans="1:5" ht="15" customHeight="1">
      <c r="A11" s="59"/>
      <c r="B11" s="49"/>
      <c r="C11" s="62"/>
      <c r="D11" s="49"/>
      <c r="E11" s="62"/>
    </row>
    <row r="12" spans="1:5" ht="15" customHeight="1">
      <c r="A12" s="59" t="s">
        <v>61</v>
      </c>
      <c r="B12" s="49"/>
      <c r="C12" s="62"/>
      <c r="D12" s="49"/>
      <c r="E12" s="62"/>
    </row>
    <row r="13" spans="1:5" ht="15" customHeight="1">
      <c r="A13" s="52" t="s">
        <v>60</v>
      </c>
      <c r="B13" s="46">
        <f>'Earned Incurred QTD-5'!D23</f>
        <v>2043226.33</v>
      </c>
      <c r="C13" s="62"/>
      <c r="D13" s="46">
        <f>'Earned Incurred YTD-6'!D23</f>
        <v>4245265.470000001</v>
      </c>
      <c r="E13" s="62"/>
    </row>
    <row r="14" spans="1:5" ht="15" customHeight="1">
      <c r="A14" s="52" t="s">
        <v>59</v>
      </c>
      <c r="B14" s="46">
        <f>'Earned Incurred QTD-5'!D30</f>
        <v>441629.26</v>
      </c>
      <c r="C14" s="62"/>
      <c r="D14" s="46">
        <f>'Earned Incurred YTD-6'!D30</f>
        <v>1706266.5800000003</v>
      </c>
      <c r="E14" s="62"/>
    </row>
    <row r="15" spans="1:5" ht="15" customHeight="1">
      <c r="A15" s="52" t="s">
        <v>58</v>
      </c>
      <c r="B15" s="46">
        <f>'Earned Incurred QTD-5'!C37</f>
        <v>247705.80000000002</v>
      </c>
      <c r="C15" s="62"/>
      <c r="D15" s="46">
        <f>'Earned Incurred YTD-6'!C37</f>
        <v>465175.2</v>
      </c>
      <c r="E15" s="62"/>
    </row>
    <row r="16" spans="1:6" ht="15" customHeight="1">
      <c r="A16" s="52" t="s">
        <v>57</v>
      </c>
      <c r="B16" s="46">
        <f>'Earned Incurred QTD-5'!C38+'Earned Incurred QTD-5'!C39+'Earned Incurred QTD-5'!C43</f>
        <v>1071334.0500000003</v>
      </c>
      <c r="C16" s="62"/>
      <c r="D16" s="46">
        <f>'Earned Incurred YTD-6'!C38+'Earned Incurred YTD-6'!C39+'Earned Incurred YTD-6'!C43</f>
        <v>2097681.05</v>
      </c>
      <c r="E16" s="62"/>
      <c r="F16" s="53"/>
    </row>
    <row r="17" spans="1:5" ht="15" customHeight="1">
      <c r="A17" s="52" t="s">
        <v>56</v>
      </c>
      <c r="B17" s="63">
        <f>'Earned Incurred QTD-5'!D36</f>
        <v>14420.36</v>
      </c>
      <c r="C17" s="62"/>
      <c r="D17" s="63">
        <f>'Earned Incurred YTD-6'!D36</f>
        <v>26413.700000000004</v>
      </c>
      <c r="E17" s="62"/>
    </row>
    <row r="18" spans="1:5" ht="15" customHeight="1">
      <c r="A18" s="52" t="s">
        <v>55</v>
      </c>
      <c r="B18" s="49"/>
      <c r="C18" s="61">
        <f>SUM(B13:B17)-1</f>
        <v>3818314.8</v>
      </c>
      <c r="D18" s="49"/>
      <c r="E18" s="61">
        <f>SUM(D13:D17)</f>
        <v>8540802</v>
      </c>
    </row>
    <row r="19" spans="1:5" ht="15" customHeight="1">
      <c r="A19" s="52"/>
      <c r="B19" s="49"/>
      <c r="C19" s="55"/>
      <c r="D19" s="49"/>
      <c r="E19" s="55"/>
    </row>
    <row r="20" spans="1:5" ht="15" customHeight="1">
      <c r="A20" s="52" t="s">
        <v>54</v>
      </c>
      <c r="B20" s="49"/>
      <c r="C20" s="54">
        <f>C10-C18</f>
        <v>-1079725.2299999995</v>
      </c>
      <c r="D20" s="49"/>
      <c r="E20" s="54">
        <f>E10-E18</f>
        <v>-3086055.169999999</v>
      </c>
    </row>
    <row r="21" spans="1:5" ht="15" customHeight="1">
      <c r="A21" s="59"/>
      <c r="B21" s="49"/>
      <c r="C21" s="55"/>
      <c r="D21" s="49"/>
      <c r="E21" s="55"/>
    </row>
    <row r="22" spans="1:5" ht="15" customHeight="1">
      <c r="A22" s="59" t="s">
        <v>53</v>
      </c>
      <c r="B22" s="49"/>
      <c r="C22" s="55"/>
      <c r="D22" s="49"/>
      <c r="E22" s="55"/>
    </row>
    <row r="23" spans="1:5" ht="15" customHeight="1">
      <c r="A23" s="52" t="s">
        <v>52</v>
      </c>
      <c r="B23" s="46">
        <f>'Earned Incurred QTD-5'!D52</f>
        <v>16648.17</v>
      </c>
      <c r="C23" s="55"/>
      <c r="D23" s="57">
        <f>'Earned Incurred YTD-6'!D52</f>
        <v>24400.53</v>
      </c>
      <c r="E23" s="55"/>
    </row>
    <row r="24" spans="1:5" ht="15" customHeight="1">
      <c r="A24" s="52" t="s">
        <v>204</v>
      </c>
      <c r="B24" s="56">
        <f>'Earned Incurred QTD-5'!D53</f>
        <v>-4254.61</v>
      </c>
      <c r="C24" s="55"/>
      <c r="D24" s="56">
        <f>'Earned Incurred YTD-6'!D53</f>
        <v>-3920.65</v>
      </c>
      <c r="E24" s="55"/>
    </row>
    <row r="25" spans="1:5" ht="15" customHeight="1">
      <c r="A25" s="52" t="s">
        <v>51</v>
      </c>
      <c r="B25" s="49"/>
      <c r="C25" s="61">
        <f>SUM(B23:B24)-1</f>
        <v>12392.559999999998</v>
      </c>
      <c r="D25" s="49"/>
      <c r="E25" s="61">
        <f>SUM(D23:D24)</f>
        <v>20479.879999999997</v>
      </c>
    </row>
    <row r="26" spans="1:5" ht="15" customHeight="1">
      <c r="A26" s="52"/>
      <c r="B26" s="49"/>
      <c r="C26" s="55"/>
      <c r="D26" s="49"/>
      <c r="E26" s="55"/>
    </row>
    <row r="27" spans="1:5" ht="15" customHeight="1">
      <c r="A27" s="59" t="s">
        <v>50</v>
      </c>
      <c r="B27" s="49"/>
      <c r="C27" s="55"/>
      <c r="D27" s="49"/>
      <c r="E27" s="55"/>
    </row>
    <row r="28" spans="1:5" ht="15" customHeight="1">
      <c r="A28" s="52" t="s">
        <v>49</v>
      </c>
      <c r="B28" s="46">
        <f>-'[3]2Q13 Trial Balance'!C269</f>
        <v>203.32</v>
      </c>
      <c r="C28" s="55"/>
      <c r="D28" s="46">
        <f>-'[3]2Q13 Trial Balance'!E269</f>
        <v>10538.23</v>
      </c>
      <c r="E28" s="55"/>
    </row>
    <row r="29" spans="1:5" ht="15" customHeight="1">
      <c r="A29" s="52" t="s">
        <v>48</v>
      </c>
      <c r="B29" s="56">
        <f>-'[3]2Q13 Trial Balance'!C270+1</f>
        <v>5117.45</v>
      </c>
      <c r="C29" s="55"/>
      <c r="D29" s="56">
        <f>-'[3]2Q13 Trial Balance'!E270</f>
        <v>10545.9</v>
      </c>
      <c r="E29" s="55"/>
    </row>
    <row r="30" spans="1:6" ht="15" customHeight="1">
      <c r="A30" s="52" t="s">
        <v>47</v>
      </c>
      <c r="B30" s="49"/>
      <c r="C30" s="61">
        <f>SUM(B28:B29)-1</f>
        <v>5319.7699999999995</v>
      </c>
      <c r="D30" s="49"/>
      <c r="E30" s="61">
        <f>SUM(D28:D29)</f>
        <v>21084.129999999997</v>
      </c>
      <c r="F30" s="58"/>
    </row>
    <row r="31" spans="1:5" ht="15" customHeight="1">
      <c r="A31" s="52"/>
      <c r="B31" s="49"/>
      <c r="C31" s="55"/>
      <c r="D31" s="49"/>
      <c r="E31" s="55"/>
    </row>
    <row r="32" spans="1:5" ht="15" customHeight="1" thickBot="1">
      <c r="A32" s="52" t="s">
        <v>205</v>
      </c>
      <c r="B32" s="49"/>
      <c r="C32" s="299">
        <f>C20+C25+C30+1</f>
        <v>-1062011.8999999994</v>
      </c>
      <c r="D32" s="49"/>
      <c r="E32" s="299">
        <f>E20+E25+E30</f>
        <v>-3044491.159999999</v>
      </c>
    </row>
    <row r="33" spans="1:5" ht="15" customHeight="1">
      <c r="A33" s="59"/>
      <c r="B33" s="49"/>
      <c r="C33" s="60"/>
      <c r="D33" s="49"/>
      <c r="E33" s="60"/>
    </row>
    <row r="34" spans="1:5" ht="15" customHeight="1">
      <c r="A34" s="59" t="s">
        <v>10</v>
      </c>
      <c r="B34" s="49"/>
      <c r="C34" s="55"/>
      <c r="D34" s="49"/>
      <c r="E34" s="55"/>
    </row>
    <row r="35" spans="1:6" ht="15" customHeight="1">
      <c r="A35" s="52" t="s">
        <v>46</v>
      </c>
      <c r="B35" s="49"/>
      <c r="C35" s="54">
        <v>-8049674.809999998</v>
      </c>
      <c r="D35" s="49"/>
      <c r="E35" s="54">
        <v>-14511072.91</v>
      </c>
      <c r="F35" s="58"/>
    </row>
    <row r="36" spans="1:5" ht="15" customHeight="1">
      <c r="A36" s="52" t="s">
        <v>206</v>
      </c>
      <c r="B36" s="57">
        <f>C32</f>
        <v>-1062011.8999999994</v>
      </c>
      <c r="C36" s="55"/>
      <c r="D36" s="57">
        <f>E32</f>
        <v>-3044491.159999999</v>
      </c>
      <c r="E36" s="55"/>
    </row>
    <row r="37" spans="1:5" ht="15" customHeight="1">
      <c r="A37" s="291" t="s">
        <v>195</v>
      </c>
      <c r="B37" s="300">
        <v>0</v>
      </c>
      <c r="C37" s="55"/>
      <c r="D37" s="282">
        <v>9469467</v>
      </c>
      <c r="E37" s="55"/>
    </row>
    <row r="38" spans="1:5" ht="15" customHeight="1">
      <c r="A38" s="290" t="s">
        <v>196</v>
      </c>
      <c r="B38" s="300">
        <v>0</v>
      </c>
      <c r="C38" s="55"/>
      <c r="D38" s="57">
        <v>-487632</v>
      </c>
      <c r="E38" s="55"/>
    </row>
    <row r="39" spans="1:5" ht="15" customHeight="1">
      <c r="A39" s="290" t="s">
        <v>197</v>
      </c>
      <c r="B39" s="300">
        <v>0</v>
      </c>
      <c r="C39" s="55"/>
      <c r="D39" s="57">
        <v>-563687</v>
      </c>
      <c r="E39" s="55"/>
    </row>
    <row r="40" spans="1:6" ht="15" customHeight="1">
      <c r="A40" s="52" t="s">
        <v>45</v>
      </c>
      <c r="B40" s="57">
        <f>-'[3]2Q13 Trial Balance'!$C$197</f>
        <v>-62753.14</v>
      </c>
      <c r="C40" s="55"/>
      <c r="D40" s="57">
        <f>1937465.96-1976658.89</f>
        <v>-39192.929999999935</v>
      </c>
      <c r="E40" s="55"/>
      <c r="F40" s="53"/>
    </row>
    <row r="41" spans="1:6" ht="15" customHeight="1">
      <c r="A41" s="52" t="s">
        <v>203</v>
      </c>
      <c r="B41" s="56">
        <f>-'[3]2Q13 Trial Balance'!$C$189</f>
        <v>-33112.02</v>
      </c>
      <c r="C41" s="55"/>
      <c r="D41" s="56">
        <v>-30942.66</v>
      </c>
      <c r="E41" s="55"/>
      <c r="F41" s="53"/>
    </row>
    <row r="42" spans="3:7" ht="14.25">
      <c r="C42" s="55"/>
      <c r="D42" s="46"/>
      <c r="E42" s="55"/>
      <c r="F42" s="46"/>
      <c r="G42" s="46"/>
    </row>
    <row r="43" spans="1:7" ht="15" customHeight="1">
      <c r="A43" s="52" t="s">
        <v>44</v>
      </c>
      <c r="C43" s="54">
        <f>SUM(B36:B41)</f>
        <v>-1157877.0599999994</v>
      </c>
      <c r="D43" s="46"/>
      <c r="E43" s="281">
        <f>SUM(D36:D41)</f>
        <v>5303521.250000001</v>
      </c>
      <c r="F43" s="46"/>
      <c r="G43" s="53"/>
    </row>
    <row r="44" spans="1:6" ht="15" customHeight="1">
      <c r="A44" s="52"/>
      <c r="C44" s="51"/>
      <c r="D44" s="46"/>
      <c r="E44" s="51"/>
      <c r="F44" s="46"/>
    </row>
    <row r="45" spans="1:5" ht="15" customHeight="1" thickBot="1">
      <c r="A45" s="50" t="s">
        <v>182</v>
      </c>
      <c r="B45" s="49"/>
      <c r="C45" s="48">
        <f>C35+C43</f>
        <v>-9207551.869999997</v>
      </c>
      <c r="D45" s="49"/>
      <c r="E45" s="48">
        <f>E35+E43</f>
        <v>-9207551.66</v>
      </c>
    </row>
    <row r="46" spans="1:5" ht="15" customHeight="1" thickTop="1">
      <c r="A46" s="47"/>
      <c r="E46" s="46"/>
    </row>
    <row r="47" spans="1:5" ht="15" customHeight="1">
      <c r="A47" s="47"/>
      <c r="D47" s="46"/>
      <c r="E47" s="46"/>
    </row>
    <row r="48" s="46" customFormat="1" ht="15" customHeight="1"/>
  </sheetData>
  <sheetProtection/>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codeName="Sheet3"/>
  <dimension ref="A1:H89"/>
  <sheetViews>
    <sheetView zoomScalePageLayoutView="0" workbookViewId="0" topLeftCell="A1">
      <selection activeCell="A1" sqref="A1:F1"/>
    </sheetView>
  </sheetViews>
  <sheetFormatPr defaultColWidth="15.7109375" defaultRowHeight="15" customHeight="1"/>
  <cols>
    <col min="1" max="1" width="59.7109375" style="75" bestFit="1" customWidth="1"/>
    <col min="2" max="3" width="15.7109375" style="78" customWidth="1"/>
    <col min="4" max="5" width="15.7109375" style="77" customWidth="1"/>
    <col min="6" max="6" width="15.7109375" style="76" customWidth="1"/>
    <col min="7" max="16384" width="15.7109375" style="75" customWidth="1"/>
  </cols>
  <sheetData>
    <row r="1" spans="1:6" s="117" customFormat="1" ht="30" customHeight="1">
      <c r="A1" s="322" t="s">
        <v>0</v>
      </c>
      <c r="B1" s="322"/>
      <c r="C1" s="322"/>
      <c r="D1" s="322"/>
      <c r="E1" s="322"/>
      <c r="F1" s="322"/>
    </row>
    <row r="2" spans="1:6" s="116" customFormat="1" ht="15" customHeight="1">
      <c r="A2" s="323"/>
      <c r="B2" s="323"/>
      <c r="C2" s="323"/>
      <c r="D2" s="323"/>
      <c r="E2" s="323"/>
      <c r="F2" s="323"/>
    </row>
    <row r="3" spans="1:6" s="115" customFormat="1" ht="15" customHeight="1">
      <c r="A3" s="324" t="s">
        <v>97</v>
      </c>
      <c r="B3" s="324"/>
      <c r="C3" s="324"/>
      <c r="D3" s="324"/>
      <c r="E3" s="324"/>
      <c r="F3" s="324"/>
    </row>
    <row r="4" spans="1:6" s="115" customFormat="1" ht="15" customHeight="1">
      <c r="A4" s="324" t="s">
        <v>175</v>
      </c>
      <c r="B4" s="324"/>
      <c r="C4" s="324"/>
      <c r="D4" s="324"/>
      <c r="E4" s="324"/>
      <c r="F4" s="324"/>
    </row>
    <row r="5" spans="1:6" s="109" customFormat="1" ht="15" customHeight="1">
      <c r="A5" s="114"/>
      <c r="B5" s="113"/>
      <c r="C5" s="113"/>
      <c r="D5" s="112"/>
      <c r="E5" s="111"/>
      <c r="F5" s="110"/>
    </row>
    <row r="6" spans="1:6" s="105" customFormat="1" ht="30" customHeight="1">
      <c r="A6" s="108"/>
      <c r="B6" s="107" t="s">
        <v>176</v>
      </c>
      <c r="C6" s="107" t="s">
        <v>1</v>
      </c>
      <c r="D6" s="107" t="s">
        <v>2</v>
      </c>
      <c r="E6" s="107" t="s">
        <v>3</v>
      </c>
      <c r="F6" s="106" t="s">
        <v>4</v>
      </c>
    </row>
    <row r="7" spans="1:6" s="83" customFormat="1" ht="15" customHeight="1">
      <c r="A7" s="96" t="s">
        <v>96</v>
      </c>
      <c r="B7" s="104"/>
      <c r="C7" s="104"/>
      <c r="D7" s="99"/>
      <c r="E7" s="99"/>
      <c r="F7" s="99"/>
    </row>
    <row r="8" spans="1:6" s="79" customFormat="1" ht="15" customHeight="1">
      <c r="A8" s="102" t="s">
        <v>95</v>
      </c>
      <c r="B8" s="103">
        <f>'Premiums QTD-7'!B12</f>
        <v>2856053</v>
      </c>
      <c r="C8" s="103">
        <f>'Premiums QTD-7'!C12</f>
        <v>-35335</v>
      </c>
      <c r="D8" s="103">
        <f>'Premiums QTD-7'!D12</f>
        <v>-105</v>
      </c>
      <c r="E8" s="90">
        <f>'Premiums QTD-7'!E12</f>
        <v>0</v>
      </c>
      <c r="F8" s="89">
        <f>SUM(B8:E8)</f>
        <v>2820613</v>
      </c>
    </row>
    <row r="9" spans="1:8" s="79" customFormat="1" ht="15" customHeight="1">
      <c r="A9" s="283" t="s">
        <v>208</v>
      </c>
      <c r="B9" s="97">
        <f>'Earned Incurred QTD-5'!D55</f>
        <v>5319.7699999999995</v>
      </c>
      <c r="C9" s="90">
        <v>0</v>
      </c>
      <c r="D9" s="90">
        <v>0</v>
      </c>
      <c r="E9" s="90">
        <v>0</v>
      </c>
      <c r="F9" s="89">
        <f>SUM(B9:E9)</f>
        <v>5319.7699999999995</v>
      </c>
      <c r="G9" s="81"/>
      <c r="H9" s="100"/>
    </row>
    <row r="10" spans="1:6" s="79" customFormat="1" ht="15" customHeight="1">
      <c r="A10" s="102" t="s">
        <v>94</v>
      </c>
      <c r="B10" s="97">
        <f>'Earned Incurred QTD-5'!C48</f>
        <v>16418.67</v>
      </c>
      <c r="C10" s="90">
        <v>0</v>
      </c>
      <c r="D10" s="90">
        <v>0</v>
      </c>
      <c r="E10" s="90">
        <v>0</v>
      </c>
      <c r="F10" s="89">
        <f>SUM(B10:E10)</f>
        <v>16418.67</v>
      </c>
    </row>
    <row r="11" spans="1:8" s="79" customFormat="1" ht="15" customHeight="1">
      <c r="A11" s="102" t="s">
        <v>93</v>
      </c>
      <c r="B11" s="97">
        <f>'Earned Incurred QTD-5'!D53</f>
        <v>-4254.61</v>
      </c>
      <c r="C11" s="90">
        <v>0</v>
      </c>
      <c r="D11" s="90">
        <v>0</v>
      </c>
      <c r="E11" s="90">
        <v>0</v>
      </c>
      <c r="F11" s="97">
        <f>SUM(B11:E11)</f>
        <v>-4254.61</v>
      </c>
      <c r="G11" s="81"/>
      <c r="H11" s="100"/>
    </row>
    <row r="12" spans="1:6" s="79" customFormat="1" ht="15" customHeight="1" thickBot="1">
      <c r="A12" s="84" t="s">
        <v>68</v>
      </c>
      <c r="B12" s="88">
        <f>SUM(B8:B11)</f>
        <v>2873536.83</v>
      </c>
      <c r="C12" s="305">
        <f>SUM(C8:C11)</f>
        <v>-35335</v>
      </c>
      <c r="D12" s="305">
        <f>SUM(D8:D11)</f>
        <v>-105</v>
      </c>
      <c r="E12" s="94">
        <f>SUM(E8:E11)</f>
        <v>0</v>
      </c>
      <c r="F12" s="87">
        <f>SUM(F8:F11)</f>
        <v>2838096.83</v>
      </c>
    </row>
    <row r="13" spans="1:6" s="79" customFormat="1" ht="15" customHeight="1" thickTop="1">
      <c r="A13" s="84"/>
      <c r="B13" s="80"/>
      <c r="C13" s="80"/>
      <c r="D13" s="80"/>
      <c r="E13" s="89"/>
      <c r="F13" s="89"/>
    </row>
    <row r="14" spans="1:6" s="79" customFormat="1" ht="15" customHeight="1">
      <c r="A14" s="96" t="s">
        <v>92</v>
      </c>
      <c r="B14" s="99"/>
      <c r="C14" s="99"/>
      <c r="D14" s="99"/>
      <c r="E14" s="98"/>
      <c r="F14" s="89"/>
    </row>
    <row r="15" spans="1:6" s="79" customFormat="1" ht="15" customHeight="1">
      <c r="A15" s="84" t="s">
        <v>91</v>
      </c>
      <c r="B15" s="97">
        <f>'Losses Incurred QTD-9'!B12</f>
        <v>53853.68</v>
      </c>
      <c r="C15" s="97">
        <f>'Losses Incurred QTD-9'!C12</f>
        <v>3465388.6900000004</v>
      </c>
      <c r="D15" s="97">
        <f>'Losses Incurred QTD-9'!D12</f>
        <v>199059.93000000002</v>
      </c>
      <c r="E15" s="90">
        <f>'Losses Incurred QTD-9'!E12</f>
        <v>0</v>
      </c>
      <c r="F15" s="89">
        <f>SUM(B15:E15)+1</f>
        <v>3718303.3000000007</v>
      </c>
    </row>
    <row r="16" spans="1:6" s="79" customFormat="1" ht="15" customHeight="1">
      <c r="A16" s="84" t="s">
        <v>90</v>
      </c>
      <c r="B16" s="97">
        <f>'[3]Loss Expenses Paid QTD-15'!$C$30</f>
        <v>10226.009999999998</v>
      </c>
      <c r="C16" s="97">
        <f>'[3]Loss Expenses Paid QTD-15'!$C$24</f>
        <v>280999.56</v>
      </c>
      <c r="D16" s="97">
        <f>'[3]Loss Expenses Paid QTD-15'!$C$18</f>
        <v>40733.89</v>
      </c>
      <c r="E16" s="90">
        <f>'[3]Loss Expenses Paid QTD-15'!$C$12</f>
        <v>0</v>
      </c>
      <c r="F16" s="89">
        <f>SUM(B16:E16)+1</f>
        <v>331960.46</v>
      </c>
    </row>
    <row r="17" spans="1:6" s="79" customFormat="1" ht="15" customHeight="1">
      <c r="A17" s="84" t="s">
        <v>89</v>
      </c>
      <c r="B17" s="97">
        <f>'[3]Loss Expenses Paid QTD-15'!$I$30</f>
        <v>2457.83</v>
      </c>
      <c r="C17" s="97">
        <f>'[3]Loss Expenses Paid QTD-15'!$I$24</f>
        <v>158177.77000000002</v>
      </c>
      <c r="D17" s="97">
        <f>'[3]Loss Expenses Paid QTD-15'!$I$18</f>
        <v>9339.14</v>
      </c>
      <c r="E17" s="90">
        <f>'[3]Loss Expenses Paid QTD-15'!$I$12</f>
        <v>0</v>
      </c>
      <c r="F17" s="89">
        <f aca="true" t="shared" si="0" ref="F17:F23">SUM(B17:E17)</f>
        <v>169974.74</v>
      </c>
    </row>
    <row r="18" spans="1:6" s="79" customFormat="1" ht="15" customHeight="1">
      <c r="A18" s="84" t="s">
        <v>88</v>
      </c>
      <c r="B18" s="97">
        <f>'[3]2Q13 Trial Balance'!D392</f>
        <v>6696.92</v>
      </c>
      <c r="C18" s="90">
        <v>0</v>
      </c>
      <c r="D18" s="90">
        <v>0</v>
      </c>
      <c r="E18" s="90">
        <v>0</v>
      </c>
      <c r="F18" s="89">
        <f t="shared" si="0"/>
        <v>6696.92</v>
      </c>
    </row>
    <row r="19" spans="1:7" s="79" customFormat="1" ht="15" customHeight="1">
      <c r="A19" s="101" t="s">
        <v>87</v>
      </c>
      <c r="B19" s="97">
        <f>'[3]2Q13 Trial Balance'!D398</f>
        <v>21046.7</v>
      </c>
      <c r="C19" s="90">
        <v>0</v>
      </c>
      <c r="D19" s="90">
        <v>0</v>
      </c>
      <c r="E19" s="90">
        <v>0</v>
      </c>
      <c r="F19" s="89">
        <f t="shared" si="0"/>
        <v>21046.7</v>
      </c>
      <c r="G19" s="81"/>
    </row>
    <row r="20" spans="1:7" s="79" customFormat="1" ht="15" customHeight="1">
      <c r="A20" s="84" t="s">
        <v>86</v>
      </c>
      <c r="B20" s="97">
        <f>'[3]2Q13 Trial Balance'!D394</f>
        <v>4125</v>
      </c>
      <c r="C20" s="90">
        <v>0</v>
      </c>
      <c r="D20" s="90">
        <v>0</v>
      </c>
      <c r="E20" s="90">
        <v>0</v>
      </c>
      <c r="F20" s="89">
        <f t="shared" si="0"/>
        <v>4125</v>
      </c>
      <c r="G20" s="81"/>
    </row>
    <row r="21" spans="1:6" s="79" customFormat="1" ht="15" customHeight="1">
      <c r="A21" s="101" t="s">
        <v>85</v>
      </c>
      <c r="B21" s="97">
        <f>'[3]2Q13 Trial Balance'!D387+1</f>
        <v>250733.80000000002</v>
      </c>
      <c r="C21" s="97">
        <f>'[3]2Q13 Trial Balance'!D383</f>
        <v>-3016.5000000000005</v>
      </c>
      <c r="D21" s="97">
        <f>'[3]2Q13 Trial Balance'!D379</f>
        <v>-10.5</v>
      </c>
      <c r="E21" s="90">
        <v>0</v>
      </c>
      <c r="F21" s="89">
        <f>SUM(B21:E21)-1</f>
        <v>247705.80000000002</v>
      </c>
    </row>
    <row r="22" spans="1:7" s="79" customFormat="1" ht="15" customHeight="1">
      <c r="A22" s="84" t="s">
        <v>84</v>
      </c>
      <c r="B22" s="97">
        <f>'Earned Incurred QTD-5'!C39</f>
        <v>1016392.3600000002</v>
      </c>
      <c r="C22" s="90">
        <v>0</v>
      </c>
      <c r="D22" s="90">
        <v>0</v>
      </c>
      <c r="E22" s="90">
        <v>0</v>
      </c>
      <c r="F22" s="89">
        <f t="shared" si="0"/>
        <v>1016392.3600000002</v>
      </c>
      <c r="G22" s="81"/>
    </row>
    <row r="23" spans="1:7" s="79" customFormat="1" ht="15" customHeight="1">
      <c r="A23" s="84" t="s">
        <v>13</v>
      </c>
      <c r="B23" s="89">
        <f>11325+28396.2</f>
        <v>39721.2</v>
      </c>
      <c r="C23" s="97">
        <f>11325</f>
        <v>11325</v>
      </c>
      <c r="D23" s="90">
        <v>0</v>
      </c>
      <c r="E23" s="90">
        <v>0</v>
      </c>
      <c r="F23" s="89">
        <f t="shared" si="0"/>
        <v>51046.2</v>
      </c>
      <c r="G23" s="81"/>
    </row>
    <row r="24" spans="1:7" s="79" customFormat="1" ht="15" customHeight="1" thickBot="1">
      <c r="A24" s="84" t="s">
        <v>68</v>
      </c>
      <c r="B24" s="88">
        <f>SUM(B15:B23)</f>
        <v>1405253.5000000002</v>
      </c>
      <c r="C24" s="88">
        <f>SUM(C15:C23)</f>
        <v>3912874.5200000005</v>
      </c>
      <c r="D24" s="88">
        <f>SUM(D15:D23)</f>
        <v>249122.46000000002</v>
      </c>
      <c r="E24" s="94">
        <f>SUM(E15:E23)</f>
        <v>0</v>
      </c>
      <c r="F24" s="87">
        <f>SUM(F15:F23)</f>
        <v>5567251.480000001</v>
      </c>
      <c r="G24" s="84"/>
    </row>
    <row r="25" spans="1:6" s="79" customFormat="1" ht="15" customHeight="1" thickTop="1">
      <c r="A25" s="84"/>
      <c r="B25" s="80"/>
      <c r="C25" s="80"/>
      <c r="D25" s="80"/>
      <c r="E25" s="89"/>
      <c r="F25" s="89"/>
    </row>
    <row r="26" spans="1:6" s="79" customFormat="1" ht="15" customHeight="1" thickBot="1">
      <c r="A26" s="86" t="s">
        <v>83</v>
      </c>
      <c r="B26" s="88">
        <f>B12-B24</f>
        <v>1468283.3299999998</v>
      </c>
      <c r="C26" s="305">
        <f>C12-C24</f>
        <v>-3948209.5200000005</v>
      </c>
      <c r="D26" s="305">
        <f>D12-D24</f>
        <v>-249227.46000000002</v>
      </c>
      <c r="E26" s="94">
        <f>E12-E24</f>
        <v>0</v>
      </c>
      <c r="F26" s="306">
        <f>SUM(B26:E26)</f>
        <v>-2729153.6500000004</v>
      </c>
    </row>
    <row r="27" spans="1:6" s="79" customFormat="1" ht="15" customHeight="1" thickTop="1">
      <c r="A27" s="84"/>
      <c r="B27" s="80"/>
      <c r="C27" s="80"/>
      <c r="D27" s="80"/>
      <c r="E27" s="89"/>
      <c r="F27" s="89"/>
    </row>
    <row r="28" spans="1:6" s="79" customFormat="1" ht="15" customHeight="1">
      <c r="A28" s="96" t="s">
        <v>82</v>
      </c>
      <c r="B28" s="99"/>
      <c r="C28" s="99"/>
      <c r="D28" s="99"/>
      <c r="E28" s="98"/>
      <c r="F28" s="89"/>
    </row>
    <row r="29" spans="1:6" s="79" customFormat="1" ht="15" customHeight="1">
      <c r="A29" s="84" t="s">
        <v>81</v>
      </c>
      <c r="B29" s="89">
        <f>'Earned Incurred QTD-5'!B50</f>
        <v>9759.6</v>
      </c>
      <c r="C29" s="90">
        <v>0</v>
      </c>
      <c r="D29" s="90">
        <v>0</v>
      </c>
      <c r="E29" s="90">
        <v>0</v>
      </c>
      <c r="F29" s="89">
        <f>SUM(B29:E29)</f>
        <v>9759.6</v>
      </c>
    </row>
    <row r="30" spans="1:7" s="79" customFormat="1" ht="15" customHeight="1">
      <c r="A30" s="84" t="s">
        <v>80</v>
      </c>
      <c r="B30" s="97">
        <f>'Balance Sheet-1'!C16</f>
        <v>339168.17</v>
      </c>
      <c r="C30" s="90">
        <v>0</v>
      </c>
      <c r="D30" s="90">
        <v>0</v>
      </c>
      <c r="E30" s="90">
        <v>0</v>
      </c>
      <c r="F30" s="89">
        <f>SUM(B30:E30)</f>
        <v>339168.17</v>
      </c>
      <c r="G30" s="81"/>
    </row>
    <row r="31" spans="1:8" s="79" customFormat="1" ht="15" customHeight="1">
      <c r="A31" s="84" t="s">
        <v>210</v>
      </c>
      <c r="B31" s="89">
        <f>-'Income Statement-2'!B41</f>
        <v>33112.02</v>
      </c>
      <c r="C31" s="90">
        <v>0</v>
      </c>
      <c r="D31" s="90">
        <v>0</v>
      </c>
      <c r="E31" s="90">
        <v>0</v>
      </c>
      <c r="F31" s="89">
        <f>SUM(B31:E31)</f>
        <v>33112.02</v>
      </c>
      <c r="G31" s="81"/>
      <c r="H31" s="81"/>
    </row>
    <row r="32" spans="1:8" s="79" customFormat="1" ht="15" customHeight="1" thickBot="1">
      <c r="A32" s="84" t="s">
        <v>68</v>
      </c>
      <c r="B32" s="88">
        <f>SUM(B29:B31)</f>
        <v>382039.79</v>
      </c>
      <c r="C32" s="94">
        <f>SUM(C29:C31)</f>
        <v>0</v>
      </c>
      <c r="D32" s="94">
        <f>SUM(D29:D31)</f>
        <v>0</v>
      </c>
      <c r="E32" s="94">
        <f>SUM(E29:E31)</f>
        <v>0</v>
      </c>
      <c r="F32" s="87">
        <f>SUM(F29:F31)</f>
        <v>382039.79</v>
      </c>
      <c r="G32" s="81"/>
      <c r="H32" s="100"/>
    </row>
    <row r="33" spans="1:6" s="79" customFormat="1" ht="15" customHeight="1" thickTop="1">
      <c r="A33" s="84"/>
      <c r="B33" s="80"/>
      <c r="C33" s="80"/>
      <c r="D33" s="80"/>
      <c r="E33" s="89"/>
      <c r="F33" s="89"/>
    </row>
    <row r="34" spans="1:6" s="79" customFormat="1" ht="15" customHeight="1">
      <c r="A34" s="96" t="s">
        <v>79</v>
      </c>
      <c r="B34" s="99"/>
      <c r="C34" s="99"/>
      <c r="D34" s="99"/>
      <c r="E34" s="98"/>
      <c r="F34" s="89"/>
    </row>
    <row r="35" spans="1:7" s="79" customFormat="1" ht="15" customHeight="1">
      <c r="A35" s="84" t="s">
        <v>78</v>
      </c>
      <c r="B35" s="97">
        <f>'Earned Incurred QTD-5'!B49</f>
        <v>9990.1</v>
      </c>
      <c r="C35" s="90">
        <v>0</v>
      </c>
      <c r="D35" s="90">
        <v>0</v>
      </c>
      <c r="E35" s="90">
        <v>0</v>
      </c>
      <c r="F35" s="89">
        <f>SUM(B35:E35)</f>
        <v>9990.1</v>
      </c>
      <c r="G35" s="81"/>
    </row>
    <row r="36" spans="1:8" s="79" customFormat="1" ht="15" customHeight="1">
      <c r="A36" s="84" t="s">
        <v>77</v>
      </c>
      <c r="B36" s="89">
        <v>276415.02999999997</v>
      </c>
      <c r="C36" s="90">
        <v>0</v>
      </c>
      <c r="D36" s="90">
        <v>0</v>
      </c>
      <c r="E36" s="90">
        <v>0</v>
      </c>
      <c r="F36" s="89">
        <f>SUM(B36:E36)</f>
        <v>276415.02999999997</v>
      </c>
      <c r="G36" s="81"/>
      <c r="H36" s="81"/>
    </row>
    <row r="37" spans="1:7" s="79" customFormat="1" ht="15" customHeight="1" thickBot="1">
      <c r="A37" s="84" t="s">
        <v>68</v>
      </c>
      <c r="B37" s="88">
        <f>SUM(B35:B36)</f>
        <v>286405.12999999995</v>
      </c>
      <c r="C37" s="94">
        <f>SUM(C36:C36)</f>
        <v>0</v>
      </c>
      <c r="D37" s="94">
        <f>SUM(D36:D36)</f>
        <v>0</v>
      </c>
      <c r="E37" s="94">
        <f>SUM(E36:E36)</f>
        <v>0</v>
      </c>
      <c r="F37" s="87">
        <f>SUM(F35:F36)</f>
        <v>286405.12999999995</v>
      </c>
      <c r="G37" s="81"/>
    </row>
    <row r="38" spans="1:6" s="79" customFormat="1" ht="15" customHeight="1" thickTop="1">
      <c r="A38" s="84"/>
      <c r="B38" s="80"/>
      <c r="C38" s="80"/>
      <c r="D38" s="80"/>
      <c r="E38" s="89"/>
      <c r="F38" s="90"/>
    </row>
    <row r="39" spans="1:6" s="79" customFormat="1" ht="15" customHeight="1" thickBot="1">
      <c r="A39" s="96" t="s">
        <v>76</v>
      </c>
      <c r="B39" s="88">
        <f>B26-B32+B37-1</f>
        <v>1372647.6699999997</v>
      </c>
      <c r="C39" s="305">
        <f>C26-C32+C37</f>
        <v>-3948209.5200000005</v>
      </c>
      <c r="D39" s="305">
        <f>D26-D32+D37</f>
        <v>-249227.46000000002</v>
      </c>
      <c r="E39" s="94">
        <f>E26-E32+E37</f>
        <v>0</v>
      </c>
      <c r="F39" s="306">
        <f>F26-F32+F37-1</f>
        <v>-2824789.3100000005</v>
      </c>
    </row>
    <row r="40" spans="1:6" s="79" customFormat="1" ht="15" customHeight="1" thickTop="1">
      <c r="A40" s="84"/>
      <c r="B40" s="80"/>
      <c r="C40" s="80"/>
      <c r="D40" s="80"/>
      <c r="E40" s="89"/>
      <c r="F40" s="89"/>
    </row>
    <row r="41" spans="1:6" s="79" customFormat="1" ht="15" customHeight="1">
      <c r="A41" s="93" t="s">
        <v>75</v>
      </c>
      <c r="B41" s="92"/>
      <c r="C41" s="92"/>
      <c r="D41" s="92"/>
      <c r="E41" s="89"/>
      <c r="F41" s="89"/>
    </row>
    <row r="42" spans="1:7" s="79" customFormat="1" ht="15" customHeight="1">
      <c r="A42" s="84" t="s">
        <v>19</v>
      </c>
      <c r="B42" s="89">
        <f>'Premiums QTD-7'!B18</f>
        <v>4149246.42</v>
      </c>
      <c r="C42" s="89">
        <f>'Premiums QTD-7'!C18</f>
        <v>1354473.18</v>
      </c>
      <c r="D42" s="90">
        <f>'Premiums QTD-7'!D18</f>
        <v>0</v>
      </c>
      <c r="E42" s="90">
        <f>'Premiums QTD-7'!E18</f>
        <v>0</v>
      </c>
      <c r="F42" s="89">
        <f>SUM(B42:E42)-1</f>
        <v>5503718.6</v>
      </c>
      <c r="G42" s="91"/>
    </row>
    <row r="43" spans="1:6" s="79" customFormat="1" ht="15" customHeight="1">
      <c r="A43" s="84" t="s">
        <v>72</v>
      </c>
      <c r="B43" s="89">
        <f>'Losses Incurred QTD-9'!B18+'Losses Incurred QTD-9'!B24</f>
        <v>638846.32</v>
      </c>
      <c r="C43" s="89">
        <f>'Losses Incurred QTD-9'!C18+'Losses Incurred QTD-9'!C24</f>
        <v>2209315.96</v>
      </c>
      <c r="D43" s="89">
        <f>'Losses Incurred QTD-9'!D18+'Losses Incurred QTD-9'!D24</f>
        <v>115113.70999999999</v>
      </c>
      <c r="E43" s="90">
        <f>'Losses Incurred QTD-9'!E18+'Losses Incurred QTD-9'!E24</f>
        <v>0</v>
      </c>
      <c r="F43" s="89">
        <f>SUM(B43:E43)</f>
        <v>2963275.9899999998</v>
      </c>
    </row>
    <row r="44" spans="1:6" s="79" customFormat="1" ht="15" customHeight="1">
      <c r="A44" s="84" t="s">
        <v>74</v>
      </c>
      <c r="B44" s="89">
        <f>'Loss Expenses QTD-11'!B18</f>
        <v>77287.87</v>
      </c>
      <c r="C44" s="89">
        <f>'Loss Expenses QTD-11'!C18</f>
        <v>198598.59</v>
      </c>
      <c r="D44" s="89">
        <f>'Loss Expenses QTD-11'!D18</f>
        <v>76238.43</v>
      </c>
      <c r="E44" s="90">
        <f>'Loss Expenses QTD-11'!E18</f>
        <v>0</v>
      </c>
      <c r="F44" s="89">
        <f>SUM(B44:E44)</f>
        <v>352124.88999999996</v>
      </c>
    </row>
    <row r="45" spans="1:6" s="79" customFormat="1" ht="15" customHeight="1">
      <c r="A45" s="84" t="s">
        <v>70</v>
      </c>
      <c r="B45" s="89">
        <f>'Earned Incurred QTD-5'!B41</f>
        <v>147430.66999999998</v>
      </c>
      <c r="C45" s="90">
        <v>0</v>
      </c>
      <c r="D45" s="90">
        <v>0</v>
      </c>
      <c r="E45" s="90">
        <v>0</v>
      </c>
      <c r="F45" s="89">
        <f>SUM(B45:E45)</f>
        <v>147430.66999999998</v>
      </c>
    </row>
    <row r="46" spans="1:6" s="79" customFormat="1" ht="15" customHeight="1">
      <c r="A46" s="84" t="s">
        <v>69</v>
      </c>
      <c r="B46" s="89">
        <f>'Earned Incurred QTD-5'!B33</f>
        <v>240.91</v>
      </c>
      <c r="C46" s="90">
        <v>0</v>
      </c>
      <c r="D46" s="90">
        <v>0</v>
      </c>
      <c r="E46" s="90">
        <v>0</v>
      </c>
      <c r="F46" s="89">
        <f>SUM(B46:E46)</f>
        <v>240.91</v>
      </c>
    </row>
    <row r="47" spans="1:6" s="79" customFormat="1" ht="15" customHeight="1" thickBot="1">
      <c r="A47" s="95" t="s">
        <v>68</v>
      </c>
      <c r="B47" s="88">
        <f>SUM(B42:B46)</f>
        <v>5013052.19</v>
      </c>
      <c r="C47" s="88">
        <f>SUM(C42:C46)</f>
        <v>3762387.7299999995</v>
      </c>
      <c r="D47" s="88">
        <f>SUM(D42:D46)</f>
        <v>191352.13999999998</v>
      </c>
      <c r="E47" s="94">
        <f>SUM(E42:E46)</f>
        <v>0</v>
      </c>
      <c r="F47" s="87">
        <f>SUM(F42:F46)+1</f>
        <v>8966792.06</v>
      </c>
    </row>
    <row r="48" spans="1:6" s="79" customFormat="1" ht="15" customHeight="1" thickTop="1">
      <c r="A48" s="84"/>
      <c r="B48" s="80"/>
      <c r="C48" s="80"/>
      <c r="D48" s="80"/>
      <c r="E48" s="89"/>
      <c r="F48" s="89"/>
    </row>
    <row r="49" spans="1:6" s="79" customFormat="1" ht="15" customHeight="1">
      <c r="A49" s="93" t="s">
        <v>73</v>
      </c>
      <c r="B49" s="92"/>
      <c r="C49" s="92"/>
      <c r="D49" s="92"/>
      <c r="E49" s="89"/>
      <c r="F49" s="89"/>
    </row>
    <row r="50" spans="1:7" s="79" customFormat="1" ht="15" customHeight="1">
      <c r="A50" s="84" t="s">
        <v>19</v>
      </c>
      <c r="B50" s="89">
        <f>'Premiums QTD-7'!B24</f>
        <v>2318010.51</v>
      </c>
      <c r="C50" s="89">
        <f>'Premiums QTD-7'!C24</f>
        <v>3103684.66</v>
      </c>
      <c r="D50" s="90">
        <f>'Premiums QTD-7'!D24</f>
        <v>0</v>
      </c>
      <c r="E50" s="90">
        <f>'Premiums QTD-7'!E24</f>
        <v>0</v>
      </c>
      <c r="F50" s="89">
        <f>SUM(B50:E50)+1</f>
        <v>5421696.17</v>
      </c>
      <c r="G50" s="91"/>
    </row>
    <row r="51" spans="1:7" s="79" customFormat="1" ht="15" customHeight="1">
      <c r="A51" s="84" t="s">
        <v>72</v>
      </c>
      <c r="B51" s="89">
        <f>'Losses Incurred QTD-9'!B31</f>
        <v>172366</v>
      </c>
      <c r="C51" s="89">
        <f>'Losses Incurred QTD-9'!C31</f>
        <v>4091252.4699999997</v>
      </c>
      <c r="D51" s="89">
        <f>'Losses Incurred QTD-9'!D31</f>
        <v>322471.69999999995</v>
      </c>
      <c r="E51" s="89">
        <f>'Losses Incurred QTD-9'!E31</f>
        <v>52262.79</v>
      </c>
      <c r="F51" s="89">
        <f>SUM(B51:E51)</f>
        <v>4638352.96</v>
      </c>
      <c r="G51" s="81"/>
    </row>
    <row r="52" spans="1:7" s="79" customFormat="1" ht="15" customHeight="1">
      <c r="A52" s="84" t="s">
        <v>71</v>
      </c>
      <c r="B52" s="89">
        <f>'Loss Expenses QTD-11'!B24</f>
        <v>28084.25</v>
      </c>
      <c r="C52" s="89">
        <f>'Loss Expenses QTD-11'!C24</f>
        <v>270746.13</v>
      </c>
      <c r="D52" s="89">
        <f>'Loss Expenses QTD-11'!D24</f>
        <v>88492.61</v>
      </c>
      <c r="E52" s="89">
        <f>'Loss Expenses QTD-11'!E24</f>
        <v>25107.84</v>
      </c>
      <c r="F52" s="89">
        <f>SUM(B52:E52)</f>
        <v>412430.83</v>
      </c>
      <c r="G52" s="81"/>
    </row>
    <row r="53" spans="1:7" s="79" customFormat="1" ht="15" customHeight="1">
      <c r="A53" s="84" t="s">
        <v>70</v>
      </c>
      <c r="B53" s="89">
        <f>'Earned Incurred QTD-5'!B42</f>
        <v>124357.59999999999</v>
      </c>
      <c r="C53" s="90">
        <v>0</v>
      </c>
      <c r="D53" s="90">
        <v>0</v>
      </c>
      <c r="E53" s="90">
        <v>0</v>
      </c>
      <c r="F53" s="89">
        <f>SUM(B53:E53)</f>
        <v>124357.59999999999</v>
      </c>
      <c r="G53" s="81"/>
    </row>
    <row r="54" spans="1:7" s="79" customFormat="1" ht="15" customHeight="1">
      <c r="A54" s="84" t="s">
        <v>69</v>
      </c>
      <c r="B54" s="89">
        <v>36866.75</v>
      </c>
      <c r="C54" s="90">
        <v>0</v>
      </c>
      <c r="D54" s="90">
        <v>0</v>
      </c>
      <c r="E54" s="90">
        <v>0</v>
      </c>
      <c r="F54" s="89">
        <f>SUM(B54:E54)</f>
        <v>36866.75</v>
      </c>
      <c r="G54" s="81"/>
    </row>
    <row r="55" spans="1:6" s="79" customFormat="1" ht="15" customHeight="1" thickBot="1">
      <c r="A55" s="84" t="s">
        <v>68</v>
      </c>
      <c r="B55" s="88">
        <f>SUM(B50:B54)+1</f>
        <v>2679686.11</v>
      </c>
      <c r="C55" s="88">
        <f>SUM(C50:C54)</f>
        <v>7465683.26</v>
      </c>
      <c r="D55" s="88">
        <f>SUM(D50:D54)+1</f>
        <v>410965.30999999994</v>
      </c>
      <c r="E55" s="88">
        <f>SUM(E50:E54)</f>
        <v>77370.63</v>
      </c>
      <c r="F55" s="87">
        <f>SUM(F50:F54)+1</f>
        <v>10633705.309999999</v>
      </c>
    </row>
    <row r="56" spans="1:6" s="79" customFormat="1" ht="15" customHeight="1" thickTop="1">
      <c r="A56" s="84"/>
      <c r="B56" s="80"/>
      <c r="C56" s="80"/>
      <c r="D56" s="80"/>
      <c r="E56" s="80"/>
      <c r="F56" s="29"/>
    </row>
    <row r="57" spans="1:7" s="79" customFormat="1" ht="15" customHeight="1" thickBot="1">
      <c r="A57" s="86" t="s">
        <v>67</v>
      </c>
      <c r="B57" s="85">
        <f>B39-B47+B55</f>
        <v>-960718.4100000006</v>
      </c>
      <c r="C57" s="85">
        <f>C39-C47+C55-1</f>
        <v>-244914.99000000022</v>
      </c>
      <c r="D57" s="85">
        <f>D39-D47+D55</f>
        <v>-29614.290000000037</v>
      </c>
      <c r="E57" s="85">
        <f>E39-E47+E55+1</f>
        <v>77371.63</v>
      </c>
      <c r="F57" s="85">
        <f>F39-F47+F55-1</f>
        <v>-1157877.0600000024</v>
      </c>
      <c r="G57" s="81"/>
    </row>
    <row r="58" spans="1:6" s="79" customFormat="1" ht="15" customHeight="1" thickTop="1">
      <c r="A58" s="84"/>
      <c r="B58" s="81"/>
      <c r="C58" s="81"/>
      <c r="D58" s="80"/>
      <c r="E58" s="80"/>
      <c r="F58" s="80"/>
    </row>
    <row r="59" spans="2:6" s="79" customFormat="1" ht="15" customHeight="1">
      <c r="B59" s="81"/>
      <c r="C59" s="81"/>
      <c r="D59" s="80"/>
      <c r="E59" s="80"/>
      <c r="F59" s="80"/>
    </row>
    <row r="60" spans="2:6" s="79" customFormat="1" ht="15" customHeight="1">
      <c r="B60" s="81"/>
      <c r="C60" s="81"/>
      <c r="D60" s="80"/>
      <c r="E60" s="80"/>
      <c r="F60" s="80"/>
    </row>
    <row r="61" spans="2:6" s="79" customFormat="1" ht="15" customHeight="1">
      <c r="B61" s="81"/>
      <c r="C61" s="81"/>
      <c r="D61" s="80"/>
      <c r="E61" s="80"/>
      <c r="F61" s="80"/>
    </row>
    <row r="62" spans="1:6" s="79" customFormat="1" ht="15" customHeight="1">
      <c r="A62" s="83"/>
      <c r="B62" s="82"/>
      <c r="C62" s="82"/>
      <c r="D62" s="80"/>
      <c r="E62" s="80"/>
      <c r="F62" s="80"/>
    </row>
    <row r="63" spans="2:6" s="79" customFormat="1" ht="15" customHeight="1">
      <c r="B63" s="81"/>
      <c r="C63" s="81"/>
      <c r="D63" s="80"/>
      <c r="E63" s="80"/>
      <c r="F63" s="29"/>
    </row>
    <row r="64" spans="2:6" s="79" customFormat="1" ht="15" customHeight="1">
      <c r="B64" s="81"/>
      <c r="C64" s="81"/>
      <c r="D64" s="80"/>
      <c r="E64" s="80"/>
      <c r="F64" s="29"/>
    </row>
    <row r="65" spans="2:6" s="79" customFormat="1" ht="15" customHeight="1">
      <c r="B65" s="81"/>
      <c r="C65" s="81"/>
      <c r="D65" s="80"/>
      <c r="E65" s="80"/>
      <c r="F65" s="29"/>
    </row>
    <row r="66" spans="2:6" s="79" customFormat="1" ht="15" customHeight="1">
      <c r="B66" s="81"/>
      <c r="C66" s="81"/>
      <c r="D66" s="80"/>
      <c r="E66" s="80"/>
      <c r="F66" s="29"/>
    </row>
    <row r="67" spans="2:6" s="79" customFormat="1" ht="15" customHeight="1">
      <c r="B67" s="81"/>
      <c r="C67" s="81"/>
      <c r="D67" s="80"/>
      <c r="E67" s="80"/>
      <c r="F67" s="29"/>
    </row>
    <row r="68" spans="2:6" s="79" customFormat="1" ht="15" customHeight="1">
      <c r="B68" s="81"/>
      <c r="C68" s="81"/>
      <c r="D68" s="80"/>
      <c r="E68" s="80"/>
      <c r="F68" s="29"/>
    </row>
    <row r="69" spans="2:6" s="79" customFormat="1" ht="15" customHeight="1">
      <c r="B69" s="81"/>
      <c r="C69" s="81"/>
      <c r="D69" s="80"/>
      <c r="E69" s="80"/>
      <c r="F69" s="29"/>
    </row>
    <row r="70" spans="2:6" s="79" customFormat="1" ht="15" customHeight="1">
      <c r="B70" s="81"/>
      <c r="C70" s="81"/>
      <c r="D70" s="80"/>
      <c r="E70" s="80"/>
      <c r="F70" s="29"/>
    </row>
    <row r="71" spans="2:6" s="79" customFormat="1" ht="15" customHeight="1">
      <c r="B71" s="81"/>
      <c r="C71" s="81"/>
      <c r="D71" s="80"/>
      <c r="E71" s="80"/>
      <c r="F71" s="29"/>
    </row>
    <row r="72" spans="2:6" s="79" customFormat="1" ht="15" customHeight="1">
      <c r="B72" s="81"/>
      <c r="C72" s="81"/>
      <c r="D72" s="80"/>
      <c r="E72" s="80"/>
      <c r="F72" s="29"/>
    </row>
    <row r="73" spans="2:6" s="79" customFormat="1" ht="15" customHeight="1">
      <c r="B73" s="81"/>
      <c r="C73" s="81"/>
      <c r="D73" s="80"/>
      <c r="E73" s="80"/>
      <c r="F73" s="29"/>
    </row>
    <row r="74" spans="2:6" s="79" customFormat="1" ht="15" customHeight="1">
      <c r="B74" s="81"/>
      <c r="C74" s="81"/>
      <c r="D74" s="80"/>
      <c r="E74" s="80"/>
      <c r="F74" s="29"/>
    </row>
    <row r="75" spans="2:6" s="79" customFormat="1" ht="15" customHeight="1">
      <c r="B75" s="81"/>
      <c r="C75" s="81"/>
      <c r="D75" s="80"/>
      <c r="E75" s="80"/>
      <c r="F75" s="29"/>
    </row>
    <row r="76" spans="2:6" s="79" customFormat="1" ht="15" customHeight="1">
      <c r="B76" s="81"/>
      <c r="C76" s="81"/>
      <c r="D76" s="80"/>
      <c r="E76" s="80"/>
      <c r="F76" s="29"/>
    </row>
    <row r="77" spans="2:6" s="79" customFormat="1" ht="15" customHeight="1">
      <c r="B77" s="81"/>
      <c r="C77" s="81"/>
      <c r="D77" s="80"/>
      <c r="E77" s="80"/>
      <c r="F77" s="29"/>
    </row>
    <row r="78" spans="2:6" s="79" customFormat="1" ht="15" customHeight="1">
      <c r="B78" s="81"/>
      <c r="C78" s="81"/>
      <c r="D78" s="80"/>
      <c r="E78" s="80"/>
      <c r="F78" s="29"/>
    </row>
    <row r="79" spans="2:6" s="79" customFormat="1" ht="15" customHeight="1">
      <c r="B79" s="81"/>
      <c r="C79" s="81"/>
      <c r="D79" s="80"/>
      <c r="E79" s="80"/>
      <c r="F79" s="29"/>
    </row>
    <row r="80" spans="2:6" s="79" customFormat="1" ht="15" customHeight="1">
      <c r="B80" s="81"/>
      <c r="C80" s="81"/>
      <c r="D80" s="80"/>
      <c r="E80" s="80"/>
      <c r="F80" s="29"/>
    </row>
    <row r="81" spans="2:6" s="79" customFormat="1" ht="15" customHeight="1">
      <c r="B81" s="81"/>
      <c r="C81" s="81"/>
      <c r="D81" s="80"/>
      <c r="E81" s="80"/>
      <c r="F81" s="29"/>
    </row>
    <row r="82" spans="2:6" s="79" customFormat="1" ht="15" customHeight="1">
      <c r="B82" s="81"/>
      <c r="C82" s="81"/>
      <c r="D82" s="80"/>
      <c r="E82" s="80"/>
      <c r="F82" s="29"/>
    </row>
    <row r="83" spans="2:6" s="79" customFormat="1" ht="15" customHeight="1">
      <c r="B83" s="81"/>
      <c r="C83" s="81"/>
      <c r="D83" s="80"/>
      <c r="E83" s="80"/>
      <c r="F83" s="29"/>
    </row>
    <row r="84" spans="2:6" s="79" customFormat="1" ht="15" customHeight="1">
      <c r="B84" s="81"/>
      <c r="C84" s="81"/>
      <c r="D84" s="80"/>
      <c r="E84" s="80"/>
      <c r="F84" s="29"/>
    </row>
    <row r="85" spans="2:6" s="79" customFormat="1" ht="15" customHeight="1">
      <c r="B85" s="81"/>
      <c r="C85" s="81"/>
      <c r="D85" s="80"/>
      <c r="E85" s="80"/>
      <c r="F85" s="29"/>
    </row>
    <row r="86" spans="2:6" s="79" customFormat="1" ht="15" customHeight="1">
      <c r="B86" s="81"/>
      <c r="C86" s="81"/>
      <c r="D86" s="80"/>
      <c r="E86" s="80"/>
      <c r="F86" s="29"/>
    </row>
    <row r="87" spans="2:6" s="79" customFormat="1" ht="15" customHeight="1">
      <c r="B87" s="81"/>
      <c r="C87" s="81"/>
      <c r="D87" s="80"/>
      <c r="E87" s="80"/>
      <c r="F87" s="29"/>
    </row>
    <row r="88" spans="2:6" s="79" customFormat="1" ht="15" customHeight="1">
      <c r="B88" s="81"/>
      <c r="C88" s="81"/>
      <c r="D88" s="80"/>
      <c r="E88" s="80"/>
      <c r="F88" s="29"/>
    </row>
    <row r="89" spans="2:6" s="79" customFormat="1" ht="15" customHeight="1">
      <c r="B89" s="81"/>
      <c r="C89" s="81"/>
      <c r="D89" s="80"/>
      <c r="E89" s="80"/>
      <c r="F89" s="29"/>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sheetPr codeName="Sheet4"/>
  <dimension ref="A1:AC96"/>
  <sheetViews>
    <sheetView zoomScalePageLayoutView="0" workbookViewId="0" topLeftCell="A1">
      <selection activeCell="A1" sqref="A1:F1"/>
    </sheetView>
  </sheetViews>
  <sheetFormatPr defaultColWidth="15.7109375" defaultRowHeight="15" customHeight="1"/>
  <cols>
    <col min="1" max="1" width="64.7109375" style="75" bestFit="1" customWidth="1"/>
    <col min="2" max="3" width="15.7109375" style="78" customWidth="1"/>
    <col min="4" max="5" width="15.7109375" style="77" customWidth="1"/>
    <col min="6" max="6" width="15.7109375" style="76" customWidth="1"/>
    <col min="7" max="16384" width="15.7109375" style="75" customWidth="1"/>
  </cols>
  <sheetData>
    <row r="1" spans="1:6" s="117" customFormat="1" ht="30" customHeight="1">
      <c r="A1" s="322" t="s">
        <v>0</v>
      </c>
      <c r="B1" s="322"/>
      <c r="C1" s="322"/>
      <c r="D1" s="322"/>
      <c r="E1" s="322"/>
      <c r="F1" s="322"/>
    </row>
    <row r="2" spans="1:6" s="116" customFormat="1" ht="15" customHeight="1">
      <c r="A2" s="323"/>
      <c r="B2" s="323"/>
      <c r="C2" s="323"/>
      <c r="D2" s="323"/>
      <c r="E2" s="323"/>
      <c r="F2" s="323"/>
    </row>
    <row r="3" spans="1:6" s="115" customFormat="1" ht="15" customHeight="1">
      <c r="A3" s="324" t="s">
        <v>97</v>
      </c>
      <c r="B3" s="324"/>
      <c r="C3" s="324"/>
      <c r="D3" s="324"/>
      <c r="E3" s="324"/>
      <c r="F3" s="324"/>
    </row>
    <row r="4" spans="1:6" s="115" customFormat="1" ht="15" customHeight="1">
      <c r="A4" s="324" t="s">
        <v>174</v>
      </c>
      <c r="B4" s="324"/>
      <c r="C4" s="324"/>
      <c r="D4" s="324"/>
      <c r="E4" s="324"/>
      <c r="F4" s="324"/>
    </row>
    <row r="5" spans="1:6" s="109" customFormat="1" ht="15" customHeight="1">
      <c r="A5" s="122"/>
      <c r="B5" s="121"/>
      <c r="C5" s="121"/>
      <c r="D5" s="120"/>
      <c r="E5" s="119"/>
      <c r="F5" s="118"/>
    </row>
    <row r="6" spans="1:6" s="105" customFormat="1" ht="30" customHeight="1">
      <c r="A6" s="108"/>
      <c r="B6" s="107" t="s">
        <v>176</v>
      </c>
      <c r="C6" s="107" t="s">
        <v>1</v>
      </c>
      <c r="D6" s="107" t="s">
        <v>2</v>
      </c>
      <c r="E6" s="107" t="s">
        <v>3</v>
      </c>
      <c r="F6" s="106" t="s">
        <v>4</v>
      </c>
    </row>
    <row r="7" spans="1:6" s="83" customFormat="1" ht="15" customHeight="1">
      <c r="A7" s="96" t="s">
        <v>96</v>
      </c>
      <c r="B7" s="104"/>
      <c r="C7" s="104"/>
      <c r="D7" s="99"/>
      <c r="E7" s="99"/>
      <c r="F7" s="99"/>
    </row>
    <row r="8" spans="1:6" s="79" customFormat="1" ht="15" customHeight="1">
      <c r="A8" s="102" t="s">
        <v>95</v>
      </c>
      <c r="B8" s="103">
        <f>'Premiums YTD-8'!B12</f>
        <v>5497588</v>
      </c>
      <c r="C8" s="103">
        <f>'Premiums YTD-8'!C12</f>
        <v>-93130</v>
      </c>
      <c r="D8" s="103">
        <f>'Premiums YTD-8'!D12</f>
        <v>-105</v>
      </c>
      <c r="E8" s="90">
        <f>'Premiums YTD-8'!E12</f>
        <v>0</v>
      </c>
      <c r="F8" s="103">
        <f>SUM(B8:E8)</f>
        <v>5404353</v>
      </c>
    </row>
    <row r="9" spans="1:8" s="79" customFormat="1" ht="15" customHeight="1">
      <c r="A9" s="283" t="s">
        <v>208</v>
      </c>
      <c r="B9" s="97">
        <f>'Earned Incurred YTD-6'!D55</f>
        <v>21084.129999999997</v>
      </c>
      <c r="C9" s="90">
        <v>0</v>
      </c>
      <c r="D9" s="90">
        <v>0</v>
      </c>
      <c r="E9" s="90">
        <v>0</v>
      </c>
      <c r="F9" s="89">
        <f>SUM(B9:E9)</f>
        <v>21084.129999999997</v>
      </c>
      <c r="G9" s="81"/>
      <c r="H9" s="100"/>
    </row>
    <row r="10" spans="1:7" s="79" customFormat="1" ht="15" customHeight="1">
      <c r="A10" s="102" t="s">
        <v>94</v>
      </c>
      <c r="B10" s="97">
        <f>'Earned Incurred YTD-6'!C48</f>
        <v>26326.129999999997</v>
      </c>
      <c r="C10" s="90">
        <v>0</v>
      </c>
      <c r="D10" s="90">
        <v>0</v>
      </c>
      <c r="E10" s="90">
        <v>0</v>
      </c>
      <c r="F10" s="89">
        <f>SUM(B10:E10)</f>
        <v>26326.129999999997</v>
      </c>
      <c r="G10" s="81"/>
    </row>
    <row r="11" spans="1:8" s="79" customFormat="1" ht="15" customHeight="1">
      <c r="A11" s="102" t="s">
        <v>93</v>
      </c>
      <c r="B11" s="97">
        <f>'Income Statement-2'!D24</f>
        <v>-3920.65</v>
      </c>
      <c r="C11" s="90">
        <v>0</v>
      </c>
      <c r="D11" s="90">
        <v>0</v>
      </c>
      <c r="E11" s="90">
        <v>0</v>
      </c>
      <c r="F11" s="97">
        <f>SUM(B11:E11)</f>
        <v>-3920.65</v>
      </c>
      <c r="G11" s="81"/>
      <c r="H11" s="100"/>
    </row>
    <row r="12" spans="1:6" s="79" customFormat="1" ht="15" customHeight="1" thickBot="1">
      <c r="A12" s="84" t="s">
        <v>68</v>
      </c>
      <c r="B12" s="88">
        <f>SUM(B8:B11)-1</f>
        <v>5541076.609999999</v>
      </c>
      <c r="C12" s="305">
        <f>SUM(C8:C11)</f>
        <v>-93130</v>
      </c>
      <c r="D12" s="305">
        <f>SUM(D8:D11)</f>
        <v>-105</v>
      </c>
      <c r="E12" s="94">
        <f>SUM(E8:E11)</f>
        <v>0</v>
      </c>
      <c r="F12" s="87">
        <f>SUM(F8:F11)-1</f>
        <v>5447841.609999999</v>
      </c>
    </row>
    <row r="13" spans="1:6" s="79" customFormat="1" ht="15" customHeight="1" thickTop="1">
      <c r="A13" s="84"/>
      <c r="B13" s="80"/>
      <c r="C13" s="80"/>
      <c r="D13" s="80"/>
      <c r="E13" s="89"/>
      <c r="F13" s="89"/>
    </row>
    <row r="14" spans="1:6" s="79" customFormat="1" ht="15" customHeight="1">
      <c r="A14" s="96" t="s">
        <v>92</v>
      </c>
      <c r="B14" s="99"/>
      <c r="C14" s="99"/>
      <c r="D14" s="99"/>
      <c r="E14" s="98"/>
      <c r="F14" s="89"/>
    </row>
    <row r="15" spans="1:6" s="79" customFormat="1" ht="15" customHeight="1">
      <c r="A15" s="84" t="s">
        <v>91</v>
      </c>
      <c r="B15" s="97">
        <f>'Losses Incurred YTD-10'!B12</f>
        <v>60840.89</v>
      </c>
      <c r="C15" s="97">
        <f>'Losses Incurred YTD-10'!C12</f>
        <v>9050806.54</v>
      </c>
      <c r="D15" s="97">
        <f>'Losses Incurred YTD-10'!D12</f>
        <v>1419407.36</v>
      </c>
      <c r="E15" s="90">
        <f>'Losses Incurred YTD-10'!E12</f>
        <v>0</v>
      </c>
      <c r="F15" s="89">
        <f aca="true" t="shared" si="0" ref="F15:F23">SUM(B15:E15)</f>
        <v>10531054.79</v>
      </c>
    </row>
    <row r="16" spans="1:6" s="79" customFormat="1" ht="15" customHeight="1">
      <c r="A16" s="84" t="s">
        <v>90</v>
      </c>
      <c r="B16" s="97">
        <f>'[3]Loss Expenses Paid YTD-16'!$C$30</f>
        <v>11485.33</v>
      </c>
      <c r="C16" s="97">
        <f>'[3]Loss Expenses Paid YTD-16'!$C$24</f>
        <v>1134452.16</v>
      </c>
      <c r="D16" s="97">
        <f>'[3]Loss Expenses Paid YTD-16'!$C$18</f>
        <v>210966.52</v>
      </c>
      <c r="E16" s="90">
        <f>'[3]Loss Expenses Paid YTD-16'!$C$12</f>
        <v>0</v>
      </c>
      <c r="F16" s="89">
        <f t="shared" si="0"/>
        <v>1356904.01</v>
      </c>
    </row>
    <row r="17" spans="1:7" s="79" customFormat="1" ht="15" customHeight="1">
      <c r="A17" s="84" t="s">
        <v>89</v>
      </c>
      <c r="B17" s="97">
        <f>'[3]Loss Expenses Paid YTD-16'!$I$30</f>
        <v>2669.98</v>
      </c>
      <c r="C17" s="97">
        <f>'[3]Loss Expenses Paid YTD-16'!$I$24</f>
        <v>327766.22</v>
      </c>
      <c r="D17" s="97">
        <f>'[3]Loss Expenses Paid YTD-16'!$I$18</f>
        <v>46404.09</v>
      </c>
      <c r="E17" s="90">
        <f>'[3]Loss Expenses Paid YTD-16'!$I$12</f>
        <v>0</v>
      </c>
      <c r="F17" s="89">
        <f t="shared" si="0"/>
        <v>376840.2899999999</v>
      </c>
      <c r="G17" s="81"/>
    </row>
    <row r="18" spans="1:6" s="79" customFormat="1" ht="15" customHeight="1">
      <c r="A18" s="84" t="s">
        <v>88</v>
      </c>
      <c r="B18" s="97">
        <f>'[3]2Q13 Trial Balance'!F392</f>
        <v>23872.94</v>
      </c>
      <c r="C18" s="90">
        <v>0</v>
      </c>
      <c r="D18" s="90">
        <v>0</v>
      </c>
      <c r="E18" s="90">
        <v>0</v>
      </c>
      <c r="F18" s="89">
        <f t="shared" si="0"/>
        <v>23872.94</v>
      </c>
    </row>
    <row r="19" spans="1:7" s="79" customFormat="1" ht="15" customHeight="1">
      <c r="A19" s="101" t="s">
        <v>87</v>
      </c>
      <c r="B19" s="97">
        <f>'[3]2Q13 Trial Balance'!F398</f>
        <v>44624.19</v>
      </c>
      <c r="C19" s="90">
        <v>0</v>
      </c>
      <c r="D19" s="90">
        <v>0</v>
      </c>
      <c r="E19" s="90">
        <v>0</v>
      </c>
      <c r="F19" s="89">
        <f t="shared" si="0"/>
        <v>44624.19</v>
      </c>
      <c r="G19" s="81"/>
    </row>
    <row r="20" spans="1:7" s="79" customFormat="1" ht="15" customHeight="1">
      <c r="A20" s="84" t="s">
        <v>86</v>
      </c>
      <c r="B20" s="97">
        <f>'[3]2Q13 Trial Balance'!F394</f>
        <v>8250</v>
      </c>
      <c r="C20" s="90">
        <v>0</v>
      </c>
      <c r="D20" s="90">
        <v>0</v>
      </c>
      <c r="E20" s="90">
        <v>0</v>
      </c>
      <c r="F20" s="89">
        <f t="shared" si="0"/>
        <v>8250</v>
      </c>
      <c r="G20" s="81"/>
    </row>
    <row r="21" spans="1:7" s="79" customFormat="1" ht="15" customHeight="1">
      <c r="A21" s="101" t="s">
        <v>85</v>
      </c>
      <c r="B21" s="97">
        <f>'[3]2Q13 Trial Balance'!F387</f>
        <v>473115.60000000003</v>
      </c>
      <c r="C21" s="97">
        <f>'[3]2Q13 Trial Balance'!F383</f>
        <v>-7929.9</v>
      </c>
      <c r="D21" s="97">
        <f>'[3]2Q13 Trial Balance'!F379</f>
        <v>-10.5</v>
      </c>
      <c r="E21" s="90">
        <v>0</v>
      </c>
      <c r="F21" s="89">
        <f t="shared" si="0"/>
        <v>465175.2</v>
      </c>
      <c r="G21" s="81"/>
    </row>
    <row r="22" spans="1:7" s="79" customFormat="1" ht="15" customHeight="1">
      <c r="A22" s="84" t="s">
        <v>84</v>
      </c>
      <c r="B22" s="97">
        <f>'Earned Incurred YTD-6'!C39</f>
        <v>2023697.4099999995</v>
      </c>
      <c r="C22" s="90">
        <v>0</v>
      </c>
      <c r="D22" s="90">
        <v>0</v>
      </c>
      <c r="E22" s="90">
        <v>0</v>
      </c>
      <c r="F22" s="89">
        <f t="shared" si="0"/>
        <v>2023697.4099999995</v>
      </c>
      <c r="G22" s="81"/>
    </row>
    <row r="23" spans="1:7" s="79" customFormat="1" ht="15" customHeight="1">
      <c r="A23" s="84" t="s">
        <v>13</v>
      </c>
      <c r="B23" s="89">
        <f>14500.26+11325+28396.2</f>
        <v>54221.46000000001</v>
      </c>
      <c r="C23" s="97">
        <f>148.01-150+11325</f>
        <v>11323.01</v>
      </c>
      <c r="D23" s="90">
        <v>0</v>
      </c>
      <c r="E23" s="90">
        <v>0</v>
      </c>
      <c r="F23" s="89">
        <f t="shared" si="0"/>
        <v>65544.47</v>
      </c>
      <c r="G23" s="81"/>
    </row>
    <row r="24" spans="1:7" s="79" customFormat="1" ht="15" customHeight="1" thickBot="1">
      <c r="A24" s="84" t="s">
        <v>68</v>
      </c>
      <c r="B24" s="88">
        <f>SUM(B15:B23)-1</f>
        <v>2702776.7999999993</v>
      </c>
      <c r="C24" s="88">
        <f>SUM(C15:C23)</f>
        <v>10516418.03</v>
      </c>
      <c r="D24" s="88">
        <f>SUM(D15:D23)</f>
        <v>1676767.4700000002</v>
      </c>
      <c r="E24" s="94">
        <f>SUM(E15:E23)</f>
        <v>0</v>
      </c>
      <c r="F24" s="87">
        <f>SUM(F15:F23)-1</f>
        <v>14895962.299999997</v>
      </c>
      <c r="G24" s="84"/>
    </row>
    <row r="25" spans="1:6" s="79" customFormat="1" ht="15" customHeight="1" thickTop="1">
      <c r="A25" s="84"/>
      <c r="B25" s="80"/>
      <c r="C25" s="80"/>
      <c r="D25" s="80"/>
      <c r="E25" s="90"/>
      <c r="F25" s="89"/>
    </row>
    <row r="26" spans="1:6" s="79" customFormat="1" ht="15" customHeight="1" thickBot="1">
      <c r="A26" s="86" t="s">
        <v>83</v>
      </c>
      <c r="B26" s="88">
        <f>B12-B24</f>
        <v>2838299.81</v>
      </c>
      <c r="C26" s="305">
        <f>C12-C24</f>
        <v>-10609548.03</v>
      </c>
      <c r="D26" s="305">
        <f>D12-D24</f>
        <v>-1676872.4700000002</v>
      </c>
      <c r="E26" s="94">
        <f>E12-E24</f>
        <v>0</v>
      </c>
      <c r="F26" s="306">
        <f>SUM(B26:E26)+1</f>
        <v>-9448119.69</v>
      </c>
    </row>
    <row r="27" spans="1:6" s="79" customFormat="1" ht="15" customHeight="1" thickTop="1">
      <c r="A27" s="84"/>
      <c r="B27" s="80"/>
      <c r="C27" s="80"/>
      <c r="D27" s="80"/>
      <c r="E27" s="89"/>
      <c r="F27" s="89"/>
    </row>
    <row r="28" spans="1:6" s="79" customFormat="1" ht="15" customHeight="1">
      <c r="A28" s="96" t="s">
        <v>82</v>
      </c>
      <c r="B28" s="99"/>
      <c r="C28" s="99"/>
      <c r="D28" s="99"/>
      <c r="E28" s="98"/>
      <c r="F28" s="89"/>
    </row>
    <row r="29" spans="1:6" s="79" customFormat="1" ht="15" customHeight="1">
      <c r="A29" s="84" t="s">
        <v>81</v>
      </c>
      <c r="B29" s="90">
        <v>0</v>
      </c>
      <c r="C29" s="97">
        <f>'Earned Incurred YTD-6'!B50</f>
        <v>11914.7</v>
      </c>
      <c r="D29" s="90">
        <v>0</v>
      </c>
      <c r="E29" s="90">
        <v>0</v>
      </c>
      <c r="F29" s="89">
        <f aca="true" t="shared" si="1" ref="F29:F34">SUM(B29:E29)</f>
        <v>11914.7</v>
      </c>
    </row>
    <row r="30" spans="1:7" s="79" customFormat="1" ht="15" customHeight="1">
      <c r="A30" s="84" t="s">
        <v>80</v>
      </c>
      <c r="B30" s="97">
        <f>'Balance Sheet-1'!$C$16</f>
        <v>339168.17</v>
      </c>
      <c r="C30" s="285">
        <v>0</v>
      </c>
      <c r="D30" s="285">
        <v>0</v>
      </c>
      <c r="E30" s="285">
        <v>0</v>
      </c>
      <c r="F30" s="89">
        <f t="shared" si="1"/>
        <v>339168.17</v>
      </c>
      <c r="G30" s="81"/>
    </row>
    <row r="31" spans="1:9" s="283" customFormat="1" ht="15" customHeight="1">
      <c r="A31" s="283" t="s">
        <v>192</v>
      </c>
      <c r="B31" s="284">
        <f>499092.17+469594.79+97524+13456-29849</f>
        <v>1049817.96</v>
      </c>
      <c r="C31" s="285">
        <v>0</v>
      </c>
      <c r="D31" s="285">
        <v>0</v>
      </c>
      <c r="E31" s="285">
        <v>0</v>
      </c>
      <c r="F31" s="286">
        <f t="shared" si="1"/>
        <v>1049817.96</v>
      </c>
      <c r="G31" s="287"/>
      <c r="H31" s="288"/>
      <c r="I31" s="289"/>
    </row>
    <row r="32" spans="1:9" s="283" customFormat="1" ht="15" customHeight="1">
      <c r="A32" s="283" t="s">
        <v>193</v>
      </c>
      <c r="B32" s="286">
        <f>-'[1]Income Statement-2'!B38</f>
        <v>487632</v>
      </c>
      <c r="C32" s="285">
        <v>0</v>
      </c>
      <c r="D32" s="285">
        <v>0</v>
      </c>
      <c r="E32" s="285">
        <v>0</v>
      </c>
      <c r="F32" s="286">
        <f t="shared" si="1"/>
        <v>487632</v>
      </c>
      <c r="G32" s="287"/>
      <c r="H32" s="288"/>
      <c r="I32" s="289"/>
    </row>
    <row r="33" spans="1:9" s="283" customFormat="1" ht="15" customHeight="1">
      <c r="A33" s="290" t="s">
        <v>194</v>
      </c>
      <c r="B33" s="286">
        <f>-'[1]Income Statement-2'!B39</f>
        <v>563687</v>
      </c>
      <c r="C33" s="285">
        <v>0</v>
      </c>
      <c r="D33" s="285">
        <v>0</v>
      </c>
      <c r="E33" s="285">
        <v>0</v>
      </c>
      <c r="F33" s="286">
        <f t="shared" si="1"/>
        <v>563687</v>
      </c>
      <c r="G33" s="287"/>
      <c r="H33" s="288"/>
      <c r="I33" s="289"/>
    </row>
    <row r="34" spans="1:8" s="79" customFormat="1" ht="15" customHeight="1">
      <c r="A34" s="84" t="s">
        <v>210</v>
      </c>
      <c r="B34" s="286">
        <f>-'Income Statement-2'!D41</f>
        <v>30942.66</v>
      </c>
      <c r="C34" s="285">
        <v>0</v>
      </c>
      <c r="D34" s="285">
        <v>0</v>
      </c>
      <c r="E34" s="285">
        <v>0</v>
      </c>
      <c r="F34" s="89">
        <f t="shared" si="1"/>
        <v>30942.66</v>
      </c>
      <c r="G34" s="81"/>
      <c r="H34" s="100"/>
    </row>
    <row r="35" spans="1:6" s="79" customFormat="1" ht="15" customHeight="1" thickBot="1">
      <c r="A35" s="84" t="s">
        <v>68</v>
      </c>
      <c r="B35" s="88">
        <f>SUM(B29:B34)</f>
        <v>2471247.79</v>
      </c>
      <c r="C35" s="88">
        <f>SUM(C29:C34)</f>
        <v>11914.7</v>
      </c>
      <c r="D35" s="94">
        <f>SUM(D29:D34)</f>
        <v>0</v>
      </c>
      <c r="E35" s="94">
        <f>SUM(E29:E34)</f>
        <v>0</v>
      </c>
      <c r="F35" s="87">
        <f>SUM(F29:F34)+1</f>
        <v>2483163.49</v>
      </c>
    </row>
    <row r="36" spans="1:6" s="79" customFormat="1" ht="15" customHeight="1" thickTop="1">
      <c r="A36" s="84"/>
      <c r="B36" s="80"/>
      <c r="C36" s="80"/>
      <c r="D36" s="80"/>
      <c r="E36" s="89"/>
      <c r="F36" s="89"/>
    </row>
    <row r="37" spans="1:6" s="79" customFormat="1" ht="15" customHeight="1">
      <c r="A37" s="96" t="s">
        <v>79</v>
      </c>
      <c r="B37" s="99"/>
      <c r="C37" s="99"/>
      <c r="D37" s="99"/>
      <c r="E37" s="98"/>
      <c r="F37" s="89"/>
    </row>
    <row r="38" spans="1:7" s="79" customFormat="1" ht="15" customHeight="1">
      <c r="A38" s="84" t="s">
        <v>78</v>
      </c>
      <c r="B38" s="97">
        <f>'Earned Incurred YTD-6'!B49</f>
        <v>9990.1</v>
      </c>
      <c r="C38" s="285">
        <v>0</v>
      </c>
      <c r="D38" s="285">
        <v>0</v>
      </c>
      <c r="E38" s="285">
        <v>0</v>
      </c>
      <c r="F38" s="89">
        <f>SUM(B38:E38)</f>
        <v>9990.1</v>
      </c>
      <c r="G38" s="81"/>
    </row>
    <row r="39" spans="1:8" s="79" customFormat="1" ht="15" customHeight="1">
      <c r="A39" s="84" t="s">
        <v>77</v>
      </c>
      <c r="B39" s="90">
        <v>0</v>
      </c>
      <c r="C39" s="89">
        <v>1349793.2</v>
      </c>
      <c r="D39" s="90">
        <v>0</v>
      </c>
      <c r="E39" s="90">
        <v>0</v>
      </c>
      <c r="F39" s="89">
        <f>SUM(B39:E39)</f>
        <v>1349793.2</v>
      </c>
      <c r="G39" s="81"/>
      <c r="H39" s="81"/>
    </row>
    <row r="40" spans="1:7" s="79" customFormat="1" ht="15" customHeight="1" thickBot="1">
      <c r="A40" s="84" t="s">
        <v>68</v>
      </c>
      <c r="B40" s="88">
        <f>SUM(B38:B39)</f>
        <v>9990.1</v>
      </c>
      <c r="C40" s="88">
        <f>SUM(C38:C39)</f>
        <v>1349793.2</v>
      </c>
      <c r="D40" s="94">
        <f>SUM(D38:D39)</f>
        <v>0</v>
      </c>
      <c r="E40" s="94">
        <f>SUM(E38:E39)</f>
        <v>0</v>
      </c>
      <c r="F40" s="87">
        <f>SUM(F38:F39)</f>
        <v>1359783.3</v>
      </c>
      <c r="G40" s="81"/>
    </row>
    <row r="41" spans="1:6" s="79" customFormat="1" ht="15" customHeight="1" thickTop="1">
      <c r="A41" s="84"/>
      <c r="B41" s="80"/>
      <c r="C41" s="80"/>
      <c r="D41" s="80"/>
      <c r="E41" s="89"/>
      <c r="F41" s="90"/>
    </row>
    <row r="42" spans="1:29" s="313" customFormat="1" ht="15">
      <c r="A42" s="307" t="s">
        <v>209</v>
      </c>
      <c r="B42" s="308"/>
      <c r="C42" s="308"/>
      <c r="D42" s="308"/>
      <c r="E42" s="308"/>
      <c r="F42" s="308"/>
      <c r="G42" s="309"/>
      <c r="H42" s="283"/>
      <c r="I42" s="310"/>
      <c r="J42" s="311"/>
      <c r="K42" s="311"/>
      <c r="L42" s="311"/>
      <c r="M42" s="311"/>
      <c r="N42" s="312"/>
      <c r="O42" s="312"/>
      <c r="P42" s="312"/>
      <c r="Q42" s="312"/>
      <c r="R42" s="312"/>
      <c r="S42" s="311"/>
      <c r="T42" s="311"/>
      <c r="U42" s="311"/>
      <c r="V42" s="311"/>
      <c r="W42" s="311"/>
      <c r="X42" s="311"/>
      <c r="Y42" s="311"/>
      <c r="Z42" s="311"/>
      <c r="AA42" s="311"/>
      <c r="AB42" s="311"/>
      <c r="AC42" s="311"/>
    </row>
    <row r="43" spans="1:29" s="313" customFormat="1" ht="15">
      <c r="A43" s="313" t="s">
        <v>195</v>
      </c>
      <c r="B43" s="89">
        <f>'[2]Income Statement-2'!B37</f>
        <v>9469467</v>
      </c>
      <c r="C43" s="90">
        <v>0</v>
      </c>
      <c r="D43" s="90">
        <v>0</v>
      </c>
      <c r="E43" s="90">
        <v>0</v>
      </c>
      <c r="F43" s="89">
        <f>SUM(B43:E43)</f>
        <v>9469467</v>
      </c>
      <c r="G43" s="309"/>
      <c r="H43" s="283"/>
      <c r="I43" s="310"/>
      <c r="J43" s="311"/>
      <c r="K43" s="311"/>
      <c r="L43" s="311"/>
      <c r="M43" s="311"/>
      <c r="N43" s="312"/>
      <c r="O43" s="312"/>
      <c r="P43" s="312"/>
      <c r="Q43" s="312"/>
      <c r="R43" s="312"/>
      <c r="S43" s="311"/>
      <c r="T43" s="311"/>
      <c r="U43" s="311"/>
      <c r="V43" s="311"/>
      <c r="W43" s="311"/>
      <c r="X43" s="311"/>
      <c r="Y43" s="311"/>
      <c r="Z43" s="311"/>
      <c r="AA43" s="311"/>
      <c r="AB43" s="311"/>
      <c r="AC43" s="311"/>
    </row>
    <row r="44" spans="1:18" s="313" customFormat="1" ht="15.75" thickBot="1">
      <c r="A44" s="313" t="s">
        <v>68</v>
      </c>
      <c r="B44" s="88">
        <f>SUM(B43:B43)</f>
        <v>9469467</v>
      </c>
      <c r="C44" s="94">
        <f>SUM(C43:C43)</f>
        <v>0</v>
      </c>
      <c r="D44" s="94">
        <f>SUM(D43:D43)</f>
        <v>0</v>
      </c>
      <c r="E44" s="94">
        <f>SUM(E43:E43)</f>
        <v>0</v>
      </c>
      <c r="F44" s="87">
        <f>SUM(F43)</f>
        <v>9469467</v>
      </c>
      <c r="G44" s="309"/>
      <c r="H44" s="283"/>
      <c r="I44" s="314"/>
      <c r="J44" s="315"/>
      <c r="K44" s="311"/>
      <c r="L44" s="311"/>
      <c r="M44" s="311"/>
      <c r="N44" s="312"/>
      <c r="O44" s="312"/>
      <c r="P44" s="312"/>
      <c r="Q44" s="312"/>
      <c r="R44" s="312"/>
    </row>
    <row r="45" spans="1:6" s="79" customFormat="1" ht="15" customHeight="1" thickTop="1">
      <c r="A45" s="84"/>
      <c r="B45" s="80"/>
      <c r="C45" s="80"/>
      <c r="D45" s="80"/>
      <c r="E45" s="89"/>
      <c r="F45" s="90"/>
    </row>
    <row r="46" spans="1:6" s="79" customFormat="1" ht="15" customHeight="1" thickBot="1">
      <c r="A46" s="96" t="s">
        <v>76</v>
      </c>
      <c r="B46" s="88">
        <f>B26-B35+B40+B44</f>
        <v>9846509.12</v>
      </c>
      <c r="C46" s="305">
        <f>C26-C35+C40+C44</f>
        <v>-9271669.53</v>
      </c>
      <c r="D46" s="305">
        <f>D26-D35+D40+D44</f>
        <v>-1676872.4700000002</v>
      </c>
      <c r="E46" s="94">
        <f>E26-E35+E40+E44</f>
        <v>0</v>
      </c>
      <c r="F46" s="306">
        <f>F26-F35+F40+F44</f>
        <v>-1102032.879999999</v>
      </c>
    </row>
    <row r="47" spans="1:6" s="79" customFormat="1" ht="15" customHeight="1" thickTop="1">
      <c r="A47" s="84"/>
      <c r="B47" s="80"/>
      <c r="C47" s="80"/>
      <c r="D47" s="80"/>
      <c r="E47" s="89"/>
      <c r="F47" s="89"/>
    </row>
    <row r="48" spans="1:6" s="79" customFormat="1" ht="15" customHeight="1">
      <c r="A48" s="93" t="s">
        <v>75</v>
      </c>
      <c r="B48" s="92"/>
      <c r="C48" s="92"/>
      <c r="D48" s="92"/>
      <c r="E48" s="89"/>
      <c r="F48" s="89"/>
    </row>
    <row r="49" spans="1:6" s="79" customFormat="1" ht="15" customHeight="1">
      <c r="A49" s="84" t="s">
        <v>19</v>
      </c>
      <c r="B49" s="89">
        <f>'Premiums YTD-8'!B18</f>
        <v>4149246.42</v>
      </c>
      <c r="C49" s="89">
        <f>'Premiums YTD-8'!C18</f>
        <v>1354473.18</v>
      </c>
      <c r="D49" s="90">
        <f>'Premiums YTD-8'!D18</f>
        <v>0</v>
      </c>
      <c r="E49" s="90">
        <f>'Premiums YTD-8'!E18</f>
        <v>0</v>
      </c>
      <c r="F49" s="89">
        <f>SUM(B49:E49)-1</f>
        <v>5503718.6</v>
      </c>
    </row>
    <row r="50" spans="1:6" s="79" customFormat="1" ht="15" customHeight="1">
      <c r="A50" s="84" t="s">
        <v>72</v>
      </c>
      <c r="B50" s="89">
        <f>'Losses Incurred YTD-10'!B18+'Losses Incurred YTD-10'!B24</f>
        <v>638846.32</v>
      </c>
      <c r="C50" s="89">
        <f>'Losses Incurred YTD-10'!C18+'Losses Incurred YTD-10'!C24</f>
        <v>2209315.96</v>
      </c>
      <c r="D50" s="89">
        <f>'Losses Incurred YTD-10'!D18+'Losses Incurred YTD-10'!D24</f>
        <v>115113.70999999999</v>
      </c>
      <c r="E50" s="90">
        <f>'Losses Incurred YTD-10'!E18+'Losses Incurred YTD-10'!E24</f>
        <v>0</v>
      </c>
      <c r="F50" s="89">
        <f>SUM(B50:E50)</f>
        <v>2963275.9899999998</v>
      </c>
    </row>
    <row r="51" spans="1:6" s="79" customFormat="1" ht="15" customHeight="1">
      <c r="A51" s="84" t="s">
        <v>74</v>
      </c>
      <c r="B51" s="89">
        <f>'Loss Expenses QTD-11'!B18</f>
        <v>77287.87</v>
      </c>
      <c r="C51" s="89">
        <f>'Loss Expenses QTD-11'!C18</f>
        <v>198598.59</v>
      </c>
      <c r="D51" s="89">
        <f>'Loss Expenses QTD-11'!D18</f>
        <v>76238.43</v>
      </c>
      <c r="E51" s="90">
        <f>'Loss Expenses QTD-11'!E18</f>
        <v>0</v>
      </c>
      <c r="F51" s="89">
        <f>SUM(B51:E51)</f>
        <v>352124.88999999996</v>
      </c>
    </row>
    <row r="52" spans="1:6" s="79" customFormat="1" ht="15" customHeight="1">
      <c r="A52" s="84" t="s">
        <v>70</v>
      </c>
      <c r="B52" s="89">
        <f>'Earned Incurred YTD-6'!B41</f>
        <v>147430.66999999998</v>
      </c>
      <c r="C52" s="285">
        <v>0</v>
      </c>
      <c r="D52" s="285">
        <v>0</v>
      </c>
      <c r="E52" s="285">
        <v>0</v>
      </c>
      <c r="F52" s="89">
        <f>SUM(B52:E52)</f>
        <v>147430.66999999998</v>
      </c>
    </row>
    <row r="53" spans="1:6" s="79" customFormat="1" ht="15" customHeight="1">
      <c r="A53" s="84" t="s">
        <v>69</v>
      </c>
      <c r="B53" s="89">
        <f>'Earned Incurred YTD-6'!B33</f>
        <v>240.91</v>
      </c>
      <c r="C53" s="285">
        <v>0</v>
      </c>
      <c r="D53" s="285">
        <v>0</v>
      </c>
      <c r="E53" s="285">
        <v>0</v>
      </c>
      <c r="F53" s="89">
        <f>SUM(B53:E53)</f>
        <v>240.91</v>
      </c>
    </row>
    <row r="54" spans="1:7" s="79" customFormat="1" ht="15" customHeight="1" thickBot="1">
      <c r="A54" s="95" t="s">
        <v>68</v>
      </c>
      <c r="B54" s="88">
        <f>SUM(B49:B53)</f>
        <v>5013052.19</v>
      </c>
      <c r="C54" s="88">
        <f>SUM(C49:C53)</f>
        <v>3762387.7299999995</v>
      </c>
      <c r="D54" s="88">
        <f>SUM(D49:D53)</f>
        <v>191352.13999999998</v>
      </c>
      <c r="E54" s="94">
        <f>SUM(E49:E53)</f>
        <v>0</v>
      </c>
      <c r="F54" s="87">
        <f>SUM(F49:F53)+1</f>
        <v>8966792.06</v>
      </c>
      <c r="G54" s="81"/>
    </row>
    <row r="55" spans="1:6" s="79" customFormat="1" ht="15" customHeight="1" thickTop="1">
      <c r="A55" s="84"/>
      <c r="B55" s="80"/>
      <c r="C55" s="80"/>
      <c r="D55" s="80"/>
      <c r="E55" s="89"/>
      <c r="F55" s="89"/>
    </row>
    <row r="56" spans="1:6" s="79" customFormat="1" ht="15" customHeight="1">
      <c r="A56" s="93" t="s">
        <v>73</v>
      </c>
      <c r="B56" s="92"/>
      <c r="C56" s="92"/>
      <c r="D56" s="92"/>
      <c r="E56" s="89"/>
      <c r="F56" s="89"/>
    </row>
    <row r="57" spans="1:7" s="79" customFormat="1" ht="15" customHeight="1">
      <c r="A57" s="84" t="s">
        <v>19</v>
      </c>
      <c r="B57" s="90">
        <f>'Premiums YTD-8'!B24</f>
        <v>0</v>
      </c>
      <c r="C57" s="89">
        <f>'Premiums YTD-8'!C24</f>
        <v>5554113.430000001</v>
      </c>
      <c r="D57" s="90">
        <f>'Premiums YTD-8'!D24</f>
        <v>0</v>
      </c>
      <c r="E57" s="90">
        <f>'Premiums YTD-8'!E24</f>
        <v>0</v>
      </c>
      <c r="F57" s="89">
        <f>SUM(B57:E57)</f>
        <v>5554113.430000001</v>
      </c>
      <c r="G57" s="91"/>
    </row>
    <row r="58" spans="1:7" s="79" customFormat="1" ht="15" customHeight="1">
      <c r="A58" s="84" t="s">
        <v>72</v>
      </c>
      <c r="B58" s="90">
        <f>'Losses Incurred YTD-10'!B31</f>
        <v>0</v>
      </c>
      <c r="C58" s="89">
        <f>'Losses Incurred YTD-10'!C31</f>
        <v>7694673.45</v>
      </c>
      <c r="D58" s="89">
        <f>'Losses Incurred YTD-10'!D31</f>
        <v>1502130.07</v>
      </c>
      <c r="E58" s="89">
        <f>'Losses Incurred YTD-10'!E31</f>
        <v>52262.79</v>
      </c>
      <c r="F58" s="89">
        <f>SUM(B58:E58)</f>
        <v>9249066.309999999</v>
      </c>
      <c r="G58" s="81"/>
    </row>
    <row r="59" spans="1:7" s="79" customFormat="1" ht="15" customHeight="1">
      <c r="A59" s="84" t="s">
        <v>71</v>
      </c>
      <c r="B59" s="90">
        <f>'Loss Expenses YTD-12'!B24</f>
        <v>0</v>
      </c>
      <c r="C59" s="89">
        <f>'Loss Expenses YTD-12'!C24</f>
        <v>205071.8</v>
      </c>
      <c r="D59" s="89">
        <f>'Loss Expenses YTD-12'!D24</f>
        <v>142893.41999999998</v>
      </c>
      <c r="E59" s="89">
        <f>'Loss Expenses YTD-12'!E24</f>
        <v>31637.39</v>
      </c>
      <c r="F59" s="89">
        <f>SUM(B59:E59)-1</f>
        <v>379601.61</v>
      </c>
      <c r="G59" s="81"/>
    </row>
    <row r="60" spans="1:9" s="79" customFormat="1" ht="15" customHeight="1">
      <c r="A60" s="84" t="s">
        <v>70</v>
      </c>
      <c r="B60" s="90">
        <v>0</v>
      </c>
      <c r="C60" s="89">
        <f>'Earned Incurred YTD-6'!B42</f>
        <v>150194.15999999997</v>
      </c>
      <c r="D60" s="90">
        <v>0</v>
      </c>
      <c r="E60" s="90">
        <v>0</v>
      </c>
      <c r="F60" s="89">
        <f>SUM(B60:E60)</f>
        <v>150194.15999999997</v>
      </c>
      <c r="G60" s="81"/>
      <c r="H60" s="81"/>
      <c r="I60" s="81"/>
    </row>
    <row r="61" spans="1:7" s="79" customFormat="1" ht="15" customHeight="1">
      <c r="A61" s="84" t="s">
        <v>69</v>
      </c>
      <c r="B61" s="90">
        <v>0</v>
      </c>
      <c r="C61" s="89">
        <f>'Earned Incurred YTD-6'!B34</f>
        <v>39370.68</v>
      </c>
      <c r="D61" s="90">
        <v>0</v>
      </c>
      <c r="E61" s="90">
        <v>0</v>
      </c>
      <c r="F61" s="89">
        <f>SUM(B61:E61)</f>
        <v>39370.68</v>
      </c>
      <c r="G61" s="81"/>
    </row>
    <row r="62" spans="1:6" s="79" customFormat="1" ht="15" customHeight="1" thickBot="1">
      <c r="A62" s="84" t="s">
        <v>68</v>
      </c>
      <c r="B62" s="94">
        <f>SUM(B57:B61)</f>
        <v>0</v>
      </c>
      <c r="C62" s="88">
        <f>SUM(C57:C61)-1</f>
        <v>13643422.520000001</v>
      </c>
      <c r="D62" s="88">
        <f>SUM(D57:D61)</f>
        <v>1645023.49</v>
      </c>
      <c r="E62" s="88">
        <f>SUM(E57:E61)</f>
        <v>83900.18</v>
      </c>
      <c r="F62" s="87">
        <f>SUM(F57:F61)</f>
        <v>15372346.189999998</v>
      </c>
    </row>
    <row r="63" spans="1:6" s="79" customFormat="1" ht="15" customHeight="1" thickTop="1">
      <c r="A63" s="84"/>
      <c r="B63" s="80"/>
      <c r="C63" s="80"/>
      <c r="D63" s="80"/>
      <c r="E63" s="80"/>
      <c r="F63" s="29"/>
    </row>
    <row r="64" spans="1:7" s="79" customFormat="1" ht="15" customHeight="1" thickBot="1">
      <c r="A64" s="86" t="s">
        <v>67</v>
      </c>
      <c r="B64" s="85">
        <f>B46-B54+B62</f>
        <v>4833456.929999999</v>
      </c>
      <c r="C64" s="85">
        <f>C46-C54+C62</f>
        <v>609365.2600000035</v>
      </c>
      <c r="D64" s="85">
        <f>D46-D54+D62</f>
        <v>-223201.1200000001</v>
      </c>
      <c r="E64" s="85">
        <f>E46-E54+E62</f>
        <v>83900.18</v>
      </c>
      <c r="F64" s="85">
        <f>F46-F54+F62</f>
        <v>5303521.249999998</v>
      </c>
      <c r="G64" s="81"/>
    </row>
    <row r="65" spans="1:6" s="79" customFormat="1" ht="15" customHeight="1" thickTop="1">
      <c r="A65" s="84"/>
      <c r="B65" s="81"/>
      <c r="C65" s="81"/>
      <c r="D65" s="80"/>
      <c r="E65" s="80"/>
      <c r="F65" s="80"/>
    </row>
    <row r="66" spans="2:6" s="79" customFormat="1" ht="15" customHeight="1">
      <c r="B66" s="81"/>
      <c r="C66" s="81"/>
      <c r="D66" s="80"/>
      <c r="E66" s="80"/>
      <c r="F66" s="80"/>
    </row>
    <row r="67" spans="2:6" s="79" customFormat="1" ht="15" customHeight="1">
      <c r="B67" s="81"/>
      <c r="C67" s="81"/>
      <c r="D67" s="80"/>
      <c r="E67" s="80"/>
      <c r="F67" s="80"/>
    </row>
    <row r="68" spans="2:6" s="79" customFormat="1" ht="15" customHeight="1">
      <c r="B68" s="81"/>
      <c r="C68" s="81"/>
      <c r="D68" s="80"/>
      <c r="E68" s="80"/>
      <c r="F68" s="80"/>
    </row>
    <row r="69" spans="1:6" s="79" customFormat="1" ht="15" customHeight="1">
      <c r="A69" s="83"/>
      <c r="B69" s="82"/>
      <c r="C69" s="82"/>
      <c r="D69" s="80"/>
      <c r="E69" s="80"/>
      <c r="F69" s="80"/>
    </row>
    <row r="70" spans="2:6" s="79" customFormat="1" ht="15" customHeight="1">
      <c r="B70" s="81"/>
      <c r="C70" s="81"/>
      <c r="D70" s="80"/>
      <c r="E70" s="80"/>
      <c r="F70" s="29"/>
    </row>
    <row r="71" spans="2:6" s="79" customFormat="1" ht="15" customHeight="1">
      <c r="B71" s="81"/>
      <c r="C71" s="81"/>
      <c r="D71" s="80"/>
      <c r="E71" s="80"/>
      <c r="F71" s="29"/>
    </row>
    <row r="72" spans="2:6" s="79" customFormat="1" ht="15" customHeight="1">
      <c r="B72" s="81"/>
      <c r="C72" s="81"/>
      <c r="D72" s="80"/>
      <c r="E72" s="80"/>
      <c r="F72" s="29"/>
    </row>
    <row r="73" spans="2:6" s="79" customFormat="1" ht="15" customHeight="1">
      <c r="B73" s="81"/>
      <c r="C73" s="81"/>
      <c r="D73" s="80"/>
      <c r="E73" s="80"/>
      <c r="F73" s="29"/>
    </row>
    <row r="74" spans="2:6" s="79" customFormat="1" ht="15" customHeight="1">
      <c r="B74" s="81"/>
      <c r="C74" s="81"/>
      <c r="D74" s="80"/>
      <c r="E74" s="80"/>
      <c r="F74" s="29"/>
    </row>
    <row r="75" spans="2:6" s="79" customFormat="1" ht="15" customHeight="1">
      <c r="B75" s="81"/>
      <c r="C75" s="81"/>
      <c r="D75" s="80"/>
      <c r="E75" s="80"/>
      <c r="F75" s="29"/>
    </row>
    <row r="76" spans="2:6" s="79" customFormat="1" ht="15" customHeight="1">
      <c r="B76" s="81"/>
      <c r="C76" s="81"/>
      <c r="D76" s="80"/>
      <c r="E76" s="80"/>
      <c r="F76" s="29"/>
    </row>
    <row r="77" spans="2:6" s="79" customFormat="1" ht="15" customHeight="1">
      <c r="B77" s="81"/>
      <c r="C77" s="81"/>
      <c r="D77" s="80"/>
      <c r="E77" s="80"/>
      <c r="F77" s="29"/>
    </row>
    <row r="78" spans="2:6" s="79" customFormat="1" ht="15" customHeight="1">
      <c r="B78" s="81"/>
      <c r="C78" s="81"/>
      <c r="D78" s="80"/>
      <c r="E78" s="80"/>
      <c r="F78" s="29"/>
    </row>
    <row r="79" spans="2:6" s="79" customFormat="1" ht="15" customHeight="1">
      <c r="B79" s="81"/>
      <c r="C79" s="81"/>
      <c r="D79" s="80"/>
      <c r="E79" s="80"/>
      <c r="F79" s="29"/>
    </row>
    <row r="80" spans="2:6" s="79" customFormat="1" ht="15" customHeight="1">
      <c r="B80" s="81"/>
      <c r="C80" s="81"/>
      <c r="D80" s="80"/>
      <c r="E80" s="80"/>
      <c r="F80" s="29"/>
    </row>
    <row r="81" spans="2:6" s="79" customFormat="1" ht="15" customHeight="1">
      <c r="B81" s="81"/>
      <c r="C81" s="81"/>
      <c r="D81" s="80"/>
      <c r="E81" s="80"/>
      <c r="F81" s="29"/>
    </row>
    <row r="82" spans="2:6" s="79" customFormat="1" ht="15" customHeight="1">
      <c r="B82" s="81"/>
      <c r="C82" s="81"/>
      <c r="D82" s="80"/>
      <c r="E82" s="80"/>
      <c r="F82" s="29"/>
    </row>
    <row r="83" spans="2:6" s="79" customFormat="1" ht="15" customHeight="1">
      <c r="B83" s="81"/>
      <c r="C83" s="81"/>
      <c r="D83" s="80"/>
      <c r="E83" s="80"/>
      <c r="F83" s="29"/>
    </row>
    <row r="84" spans="2:6" s="79" customFormat="1" ht="15" customHeight="1">
      <c r="B84" s="81"/>
      <c r="C84" s="81"/>
      <c r="D84" s="80"/>
      <c r="E84" s="80"/>
      <c r="F84" s="29"/>
    </row>
    <row r="85" spans="2:6" s="79" customFormat="1" ht="15" customHeight="1">
      <c r="B85" s="81"/>
      <c r="C85" s="81"/>
      <c r="D85" s="80"/>
      <c r="E85" s="80"/>
      <c r="F85" s="29"/>
    </row>
    <row r="86" spans="2:6" s="79" customFormat="1" ht="15" customHeight="1">
      <c r="B86" s="81"/>
      <c r="C86" s="81"/>
      <c r="D86" s="80"/>
      <c r="E86" s="80"/>
      <c r="F86" s="29"/>
    </row>
    <row r="87" spans="2:6" s="79" customFormat="1" ht="15" customHeight="1">
      <c r="B87" s="81"/>
      <c r="C87" s="81"/>
      <c r="D87" s="80"/>
      <c r="E87" s="80"/>
      <c r="F87" s="29"/>
    </row>
    <row r="88" spans="2:6" s="79" customFormat="1" ht="15" customHeight="1">
      <c r="B88" s="81"/>
      <c r="C88" s="81"/>
      <c r="D88" s="80"/>
      <c r="E88" s="80"/>
      <c r="F88" s="29"/>
    </row>
    <row r="89" spans="2:6" s="79" customFormat="1" ht="15" customHeight="1">
      <c r="B89" s="81"/>
      <c r="C89" s="81"/>
      <c r="D89" s="80"/>
      <c r="E89" s="80"/>
      <c r="F89" s="29"/>
    </row>
    <row r="90" spans="2:6" s="79" customFormat="1" ht="15" customHeight="1">
      <c r="B90" s="81"/>
      <c r="C90" s="81"/>
      <c r="D90" s="80"/>
      <c r="E90" s="80"/>
      <c r="F90" s="29"/>
    </row>
    <row r="91" spans="2:6" s="79" customFormat="1" ht="15" customHeight="1">
      <c r="B91" s="81"/>
      <c r="C91" s="81"/>
      <c r="D91" s="80"/>
      <c r="E91" s="80"/>
      <c r="F91" s="29"/>
    </row>
    <row r="92" spans="2:6" s="79" customFormat="1" ht="15" customHeight="1">
      <c r="B92" s="81"/>
      <c r="C92" s="81"/>
      <c r="D92" s="80"/>
      <c r="E92" s="80"/>
      <c r="F92" s="29"/>
    </row>
    <row r="93" spans="2:6" s="79" customFormat="1" ht="15" customHeight="1">
      <c r="B93" s="81"/>
      <c r="C93" s="81"/>
      <c r="D93" s="80"/>
      <c r="E93" s="80"/>
      <c r="F93" s="29"/>
    </row>
    <row r="94" spans="2:6" s="79" customFormat="1" ht="15" customHeight="1">
      <c r="B94" s="81"/>
      <c r="C94" s="81"/>
      <c r="D94" s="80"/>
      <c r="E94" s="80"/>
      <c r="F94" s="29"/>
    </row>
    <row r="95" spans="2:6" s="79" customFormat="1" ht="15" customHeight="1">
      <c r="B95" s="81"/>
      <c r="C95" s="81"/>
      <c r="D95" s="80"/>
      <c r="E95" s="80"/>
      <c r="F95" s="29"/>
    </row>
    <row r="96" spans="2:6" s="79" customFormat="1" ht="15" customHeight="1">
      <c r="B96" s="81"/>
      <c r="C96" s="81"/>
      <c r="D96" s="80"/>
      <c r="E96" s="80"/>
      <c r="F96" s="29"/>
    </row>
  </sheetData>
  <sheetProtection/>
  <mergeCells count="4">
    <mergeCell ref="A1:F1"/>
    <mergeCell ref="A2:F2"/>
    <mergeCell ref="A3:F3"/>
    <mergeCell ref="A4:F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sheetPr codeName="Sheet5"/>
  <dimension ref="A1:G161"/>
  <sheetViews>
    <sheetView zoomScalePageLayoutView="0" workbookViewId="0" topLeftCell="A1">
      <selection activeCell="A1" sqref="A1:D1"/>
    </sheetView>
  </sheetViews>
  <sheetFormatPr defaultColWidth="15.7109375" defaultRowHeight="15" customHeight="1"/>
  <cols>
    <col min="1" max="1" width="60.7109375" style="70" customWidth="1"/>
    <col min="2" max="4" width="18.7109375" style="124" customWidth="1"/>
    <col min="5" max="5" width="15.7109375" style="123" customWidth="1"/>
    <col min="6" max="16384" width="15.7109375" style="70" customWidth="1"/>
  </cols>
  <sheetData>
    <row r="1" spans="1:5" s="168" customFormat="1" ht="30" customHeight="1">
      <c r="A1" s="328" t="s">
        <v>0</v>
      </c>
      <c r="B1" s="329"/>
      <c r="C1" s="329"/>
      <c r="D1" s="330"/>
      <c r="E1" s="169"/>
    </row>
    <row r="2" spans="1:5" s="165" customFormat="1" ht="15" customHeight="1">
      <c r="A2" s="331"/>
      <c r="B2" s="332"/>
      <c r="C2" s="332"/>
      <c r="D2" s="333"/>
      <c r="E2" s="166"/>
    </row>
    <row r="3" spans="1:5" s="165" customFormat="1" ht="15" customHeight="1">
      <c r="A3" s="325" t="s">
        <v>142</v>
      </c>
      <c r="B3" s="326"/>
      <c r="C3" s="326"/>
      <c r="D3" s="327"/>
      <c r="E3" s="166"/>
    </row>
    <row r="4" spans="1:5" s="165" customFormat="1" ht="15" customHeight="1">
      <c r="A4" s="325" t="s">
        <v>141</v>
      </c>
      <c r="B4" s="326"/>
      <c r="C4" s="326"/>
      <c r="D4" s="327"/>
      <c r="E4" s="166"/>
    </row>
    <row r="5" spans="1:5" s="165" customFormat="1" ht="15" customHeight="1">
      <c r="A5" s="325" t="s">
        <v>180</v>
      </c>
      <c r="B5" s="326"/>
      <c r="C5" s="326"/>
      <c r="D5" s="327"/>
      <c r="E5" s="166"/>
    </row>
    <row r="6" spans="1:5" s="165" customFormat="1" ht="15" customHeight="1">
      <c r="A6" s="167"/>
      <c r="B6" s="163"/>
      <c r="C6" s="163"/>
      <c r="D6" s="162"/>
      <c r="E6" s="166"/>
    </row>
    <row r="7" spans="1:5" s="45" customFormat="1" ht="15" customHeight="1">
      <c r="A7" s="164"/>
      <c r="B7" s="163"/>
      <c r="C7" s="163"/>
      <c r="D7" s="162"/>
      <c r="E7" s="46"/>
    </row>
    <row r="8" spans="1:5" s="45" customFormat="1" ht="15" customHeight="1">
      <c r="A8" s="158" t="s">
        <v>140</v>
      </c>
      <c r="B8" s="161" t="s">
        <v>191</v>
      </c>
      <c r="C8" s="160"/>
      <c r="D8" s="159"/>
      <c r="E8" s="46"/>
    </row>
    <row r="9" spans="1:5" s="45" customFormat="1" ht="15" customHeight="1">
      <c r="A9" s="158"/>
      <c r="B9" s="157" t="s">
        <v>65</v>
      </c>
      <c r="C9" s="156"/>
      <c r="D9" s="155"/>
      <c r="E9" s="46"/>
    </row>
    <row r="10" spans="1:5" s="45" customFormat="1" ht="15" customHeight="1">
      <c r="A10" s="154"/>
      <c r="B10" s="153" t="s">
        <v>43</v>
      </c>
      <c r="C10" s="152"/>
      <c r="D10" s="145"/>
      <c r="E10" s="46"/>
    </row>
    <row r="11" spans="1:5" s="45" customFormat="1" ht="15" customHeight="1">
      <c r="A11" s="143" t="s">
        <v>139</v>
      </c>
      <c r="B11" s="140"/>
      <c r="C11" s="14">
        <f>'Premiums QTD-7'!$F$12</f>
        <v>2820613</v>
      </c>
      <c r="D11" s="145"/>
      <c r="E11" s="46"/>
    </row>
    <row r="12" spans="1:5" s="45" customFormat="1" ht="15" customHeight="1">
      <c r="A12" s="143"/>
      <c r="B12" s="140"/>
      <c r="C12" s="29"/>
      <c r="D12" s="145"/>
      <c r="E12" s="46"/>
    </row>
    <row r="13" spans="1:5" s="45" customFormat="1" ht="15" customHeight="1">
      <c r="A13" s="141" t="s">
        <v>138</v>
      </c>
      <c r="B13" s="140">
        <f>'Premiums QTD-7'!$F$18</f>
        <v>5503718.6</v>
      </c>
      <c r="C13" s="27"/>
      <c r="D13" s="145"/>
      <c r="E13" s="46"/>
    </row>
    <row r="14" spans="1:5" s="45" customFormat="1" ht="15" customHeight="1">
      <c r="A14" s="141" t="s">
        <v>137</v>
      </c>
      <c r="B14" s="137">
        <f>'Premiums QTD-7'!$F$24</f>
        <v>5421696.17</v>
      </c>
      <c r="C14" s="27"/>
      <c r="D14" s="145"/>
      <c r="E14" s="46"/>
    </row>
    <row r="15" spans="1:5" s="45" customFormat="1" ht="15" customHeight="1">
      <c r="A15" s="141" t="s">
        <v>136</v>
      </c>
      <c r="B15" s="140"/>
      <c r="C15" s="296">
        <f>B14-B13-1</f>
        <v>-82023.4299999997</v>
      </c>
      <c r="D15" s="145"/>
      <c r="E15" s="46"/>
    </row>
    <row r="16" spans="1:5" s="45" customFormat="1" ht="15" customHeight="1">
      <c r="A16" s="143" t="s">
        <v>135</v>
      </c>
      <c r="B16" s="140"/>
      <c r="C16" s="27"/>
      <c r="D16" s="151">
        <f>C11+C15</f>
        <v>2738589.5700000003</v>
      </c>
      <c r="E16" s="46"/>
    </row>
    <row r="17" spans="1:4" s="45" customFormat="1" ht="15" customHeight="1">
      <c r="A17" s="141" t="s">
        <v>134</v>
      </c>
      <c r="B17" s="140"/>
      <c r="C17" s="27">
        <f>'[3]Loss Expenses Paid QTD-15'!E36</f>
        <v>3724376.02</v>
      </c>
      <c r="D17" s="145"/>
    </row>
    <row r="18" spans="1:4" s="45" customFormat="1" ht="15" customHeight="1">
      <c r="A18" s="141" t="s">
        <v>133</v>
      </c>
      <c r="B18" s="140"/>
      <c r="C18" s="136">
        <f>-'[3]2Q13 Trial Balance'!D291</f>
        <v>6072.719999999999</v>
      </c>
      <c r="D18" s="145"/>
    </row>
    <row r="19" spans="1:5" s="45" customFormat="1" ht="15" customHeight="1">
      <c r="A19" s="143" t="s">
        <v>132</v>
      </c>
      <c r="B19" s="140"/>
      <c r="C19" s="27">
        <f>C17-C18</f>
        <v>3718303.3</v>
      </c>
      <c r="D19" s="145"/>
      <c r="E19" s="46"/>
    </row>
    <row r="20" spans="1:5" s="45" customFormat="1" ht="15" customHeight="1">
      <c r="A20" s="141" t="s">
        <v>131</v>
      </c>
      <c r="B20" s="140">
        <f>'Losses Incurred QTD-9'!F18+'Losses Incurred QTD-9'!F24</f>
        <v>2963275.99</v>
      </c>
      <c r="C20" s="27" t="s">
        <v>43</v>
      </c>
      <c r="D20" s="145"/>
      <c r="E20" s="46"/>
    </row>
    <row r="21" spans="1:5" s="45" customFormat="1" ht="15" customHeight="1">
      <c r="A21" s="141" t="s">
        <v>130</v>
      </c>
      <c r="B21" s="137">
        <f>'Losses Incurred QTD-9'!$F$31</f>
        <v>4638352.96</v>
      </c>
      <c r="C21" s="27"/>
      <c r="D21" s="145"/>
      <c r="E21" s="46"/>
    </row>
    <row r="22" spans="1:5" s="45" customFormat="1" ht="15" customHeight="1">
      <c r="A22" s="141" t="s">
        <v>129</v>
      </c>
      <c r="B22" s="150"/>
      <c r="C22" s="296">
        <f>B20-B21</f>
        <v>-1675076.9699999997</v>
      </c>
      <c r="D22" s="145"/>
      <c r="E22" s="46"/>
    </row>
    <row r="23" spans="1:6" s="45" customFormat="1" ht="15" customHeight="1">
      <c r="A23" s="143" t="s">
        <v>128</v>
      </c>
      <c r="B23" s="140"/>
      <c r="C23" s="27"/>
      <c r="D23" s="145">
        <f>C19+C22</f>
        <v>2043226.33</v>
      </c>
      <c r="E23" s="27"/>
      <c r="F23" s="53"/>
    </row>
    <row r="24" spans="1:5" s="45" customFormat="1" ht="15" customHeight="1">
      <c r="A24" s="141" t="s">
        <v>127</v>
      </c>
      <c r="B24" s="140"/>
      <c r="C24" s="27">
        <f>'[3]Loss Expenses Paid QTD-15'!C36</f>
        <v>331960.46</v>
      </c>
      <c r="D24" s="145"/>
      <c r="E24" s="149"/>
    </row>
    <row r="25" spans="1:5" s="45" customFormat="1" ht="15" customHeight="1">
      <c r="A25" s="141" t="s">
        <v>126</v>
      </c>
      <c r="B25" s="140"/>
      <c r="C25" s="136">
        <f>'[3]Loss Expenses Paid QTD-15'!I36</f>
        <v>169974.74</v>
      </c>
      <c r="D25" s="145"/>
      <c r="E25" s="149"/>
    </row>
    <row r="26" spans="1:5" s="45" customFormat="1" ht="15" customHeight="1">
      <c r="A26" s="143" t="s">
        <v>125</v>
      </c>
      <c r="B26" s="140"/>
      <c r="C26" s="27">
        <f>C24+C25</f>
        <v>501935.2</v>
      </c>
      <c r="D26" s="145"/>
      <c r="E26" s="27"/>
    </row>
    <row r="27" spans="1:5" s="45" customFormat="1" ht="15" customHeight="1">
      <c r="A27" s="141" t="s">
        <v>124</v>
      </c>
      <c r="B27" s="140">
        <f>'Loss Expenses QTD-11'!$F$18</f>
        <v>352124.89</v>
      </c>
      <c r="C27" s="27"/>
      <c r="D27" s="145"/>
      <c r="E27" s="149"/>
    </row>
    <row r="28" spans="1:5" s="45" customFormat="1" ht="15" customHeight="1">
      <c r="A28" s="141" t="s">
        <v>123</v>
      </c>
      <c r="B28" s="137">
        <f>'Loss Expenses QTD-11'!$F$24</f>
        <v>412430.83</v>
      </c>
      <c r="C28" s="27"/>
      <c r="D28" s="145"/>
      <c r="E28" s="27"/>
    </row>
    <row r="29" spans="1:7" s="45" customFormat="1" ht="15" customHeight="1">
      <c r="A29" s="141" t="s">
        <v>122</v>
      </c>
      <c r="B29" s="140"/>
      <c r="C29" s="296">
        <f>B27-B28</f>
        <v>-60305.94</v>
      </c>
      <c r="D29" s="145"/>
      <c r="E29" s="149"/>
      <c r="G29" s="53"/>
    </row>
    <row r="30" spans="1:6" s="45" customFormat="1" ht="15" customHeight="1">
      <c r="A30" s="143" t="s">
        <v>121</v>
      </c>
      <c r="B30" s="140"/>
      <c r="C30" s="27"/>
      <c r="D30" s="142">
        <f>C26+C29</f>
        <v>441629.26</v>
      </c>
      <c r="E30" s="27"/>
      <c r="F30" s="53"/>
    </row>
    <row r="31" spans="1:6" s="45" customFormat="1" ht="15" customHeight="1">
      <c r="A31" s="143" t="s">
        <v>120</v>
      </c>
      <c r="B31" s="140"/>
      <c r="C31" s="27"/>
      <c r="D31" s="146">
        <f>D23+D30-1</f>
        <v>2484854.59</v>
      </c>
      <c r="E31" s="27"/>
      <c r="F31" s="53"/>
    </row>
    <row r="32" spans="1:6" s="45" customFormat="1" ht="15" customHeight="1">
      <c r="A32" s="141" t="s">
        <v>119</v>
      </c>
      <c r="B32" s="140"/>
      <c r="C32" s="27">
        <f>22650+28396.2</f>
        <v>51046.2</v>
      </c>
      <c r="D32" s="145"/>
      <c r="E32" s="149"/>
      <c r="F32" s="53"/>
    </row>
    <row r="33" spans="1:7" s="45" customFormat="1" ht="15" customHeight="1">
      <c r="A33" s="141" t="s">
        <v>112</v>
      </c>
      <c r="B33" s="297">
        <f>-'[3]2Q13 Trial Balance'!F124</f>
        <v>240.91</v>
      </c>
      <c r="C33" s="27"/>
      <c r="D33" s="145"/>
      <c r="E33" s="46"/>
      <c r="G33" s="53"/>
    </row>
    <row r="34" spans="1:7" s="45" customFormat="1" ht="15" customHeight="1">
      <c r="A34" s="141" t="s">
        <v>111</v>
      </c>
      <c r="B34" s="137">
        <v>36866.75</v>
      </c>
      <c r="C34" s="27"/>
      <c r="D34" s="145"/>
      <c r="E34" s="46"/>
      <c r="G34" s="53"/>
    </row>
    <row r="35" spans="1:5" s="45" customFormat="1" ht="15" customHeight="1">
      <c r="A35" s="141" t="s">
        <v>118</v>
      </c>
      <c r="B35" s="140"/>
      <c r="C35" s="296">
        <f>B33-B34</f>
        <v>-36625.84</v>
      </c>
      <c r="D35" s="145"/>
      <c r="E35" s="46"/>
    </row>
    <row r="36" spans="1:6" s="45" customFormat="1" ht="15" customHeight="1">
      <c r="A36" s="143" t="s">
        <v>117</v>
      </c>
      <c r="B36" s="140"/>
      <c r="C36" s="27" t="s">
        <v>43</v>
      </c>
      <c r="D36" s="298">
        <f>C32+C35</f>
        <v>14420.36</v>
      </c>
      <c r="E36" s="46"/>
      <c r="F36" s="53"/>
    </row>
    <row r="37" spans="1:5" s="45" customFormat="1" ht="15" customHeight="1">
      <c r="A37" s="141" t="s">
        <v>116</v>
      </c>
      <c r="B37" s="140"/>
      <c r="C37" s="27">
        <f>'[3]2Q13 Trial Balance'!D389</f>
        <v>247705.80000000002</v>
      </c>
      <c r="D37" s="145"/>
      <c r="E37" s="46"/>
    </row>
    <row r="38" spans="1:5" s="45" customFormat="1" ht="15" customHeight="1">
      <c r="A38" s="141" t="s">
        <v>115</v>
      </c>
      <c r="B38" s="140"/>
      <c r="C38" s="27">
        <f>'[3]2Q13 Trial Balance'!D400</f>
        <v>31868.620000000003</v>
      </c>
      <c r="D38" s="145"/>
      <c r="E38" s="148"/>
    </row>
    <row r="39" spans="1:6" s="45" customFormat="1" ht="15" customHeight="1">
      <c r="A39" s="141" t="s">
        <v>114</v>
      </c>
      <c r="B39" s="140"/>
      <c r="C39" s="136">
        <f>'[3]2Q13 Trial Balance'!D623-C43-4</f>
        <v>1016392.3600000002</v>
      </c>
      <c r="D39" s="145"/>
      <c r="E39" s="148"/>
      <c r="F39" s="46"/>
    </row>
    <row r="40" spans="1:6" s="45" customFormat="1" ht="15" customHeight="1">
      <c r="A40" s="143" t="s">
        <v>113</v>
      </c>
      <c r="B40" s="140"/>
      <c r="C40" s="27">
        <f>SUM(C37:C39)</f>
        <v>1295966.7800000003</v>
      </c>
      <c r="D40" s="145"/>
      <c r="E40" s="148"/>
      <c r="F40" s="46"/>
    </row>
    <row r="41" spans="1:5" s="45" customFormat="1" ht="15" customHeight="1">
      <c r="A41" s="141" t="s">
        <v>112</v>
      </c>
      <c r="B41" s="140">
        <f>-'[3]2Q13 Trial Balance'!F139</f>
        <v>147430.66999999998</v>
      </c>
      <c r="C41" s="27"/>
      <c r="D41" s="145"/>
      <c r="E41" s="148"/>
    </row>
    <row r="42" spans="1:5" s="45" customFormat="1" ht="15" customHeight="1">
      <c r="A42" s="141" t="s">
        <v>111</v>
      </c>
      <c r="B42" s="137">
        <v>124357.59999999999</v>
      </c>
      <c r="C42" s="27" t="s">
        <v>43</v>
      </c>
      <c r="D42" s="145"/>
      <c r="E42" s="46"/>
    </row>
    <row r="43" spans="1:5" s="45" customFormat="1" ht="15" customHeight="1">
      <c r="A43" s="141" t="s">
        <v>110</v>
      </c>
      <c r="B43" s="140"/>
      <c r="C43" s="296">
        <f>+B41-B42</f>
        <v>23073.069999999992</v>
      </c>
      <c r="D43" s="145"/>
      <c r="E43" s="46"/>
    </row>
    <row r="44" spans="1:6" s="45" customFormat="1" ht="15" customHeight="1">
      <c r="A44" s="143" t="s">
        <v>109</v>
      </c>
      <c r="B44" s="140"/>
      <c r="C44" s="27"/>
      <c r="D44" s="142">
        <f>SUM(C40:C43)</f>
        <v>1319039.8500000003</v>
      </c>
      <c r="E44" s="46"/>
      <c r="F44" s="46"/>
    </row>
    <row r="45" spans="1:6" s="45" customFormat="1" ht="15" customHeight="1">
      <c r="A45" s="143" t="s">
        <v>108</v>
      </c>
      <c r="B45" s="140"/>
      <c r="C45" s="27"/>
      <c r="D45" s="139">
        <f>SUM(D36:D44)</f>
        <v>1333460.2100000004</v>
      </c>
      <c r="E45" s="46"/>
      <c r="F45" s="147"/>
    </row>
    <row r="46" spans="1:6" s="45" customFormat="1" ht="15" customHeight="1">
      <c r="A46" s="143" t="s">
        <v>107</v>
      </c>
      <c r="B46" s="140"/>
      <c r="C46" s="27"/>
      <c r="D46" s="135">
        <f>+D31+D45</f>
        <v>3818314.8000000003</v>
      </c>
      <c r="E46" s="46"/>
      <c r="F46" s="147"/>
    </row>
    <row r="47" spans="1:6" s="45" customFormat="1" ht="15" customHeight="1">
      <c r="A47" s="143" t="s">
        <v>106</v>
      </c>
      <c r="B47" s="140"/>
      <c r="C47" s="27"/>
      <c r="D47" s="146">
        <f>D16-D31-D45</f>
        <v>-1079725.23</v>
      </c>
      <c r="E47" s="134"/>
      <c r="F47" s="46"/>
    </row>
    <row r="48" spans="1:6" s="45" customFormat="1" ht="15" customHeight="1">
      <c r="A48" s="141" t="s">
        <v>105</v>
      </c>
      <c r="B48" s="140"/>
      <c r="C48" s="27">
        <f>-'[3]2Q13 Trial Balance'!D260-C51</f>
        <v>16418.67</v>
      </c>
      <c r="D48" s="145"/>
      <c r="E48" s="53"/>
      <c r="F48" s="53"/>
    </row>
    <row r="49" spans="1:5" s="45" customFormat="1" ht="15" customHeight="1">
      <c r="A49" s="141" t="s">
        <v>104</v>
      </c>
      <c r="B49" s="140">
        <f>'[3]2Q13 Trial Balance'!F38</f>
        <v>9990.1</v>
      </c>
      <c r="C49" s="27"/>
      <c r="D49" s="145"/>
      <c r="E49" s="46"/>
    </row>
    <row r="50" spans="1:5" s="45" customFormat="1" ht="15" customHeight="1">
      <c r="A50" s="141" t="s">
        <v>103</v>
      </c>
      <c r="B50" s="137">
        <v>9759.6</v>
      </c>
      <c r="C50" s="27"/>
      <c r="D50" s="145"/>
      <c r="E50" s="46"/>
    </row>
    <row r="51" spans="1:5" s="45" customFormat="1" ht="15" customHeight="1">
      <c r="A51" s="141" t="s">
        <v>102</v>
      </c>
      <c r="B51" s="140"/>
      <c r="C51" s="296">
        <f>B49-B50-1</f>
        <v>229.5</v>
      </c>
      <c r="D51" s="145"/>
      <c r="E51" s="46"/>
    </row>
    <row r="52" spans="1:5" s="45" customFormat="1" ht="15" customHeight="1">
      <c r="A52" s="143" t="s">
        <v>101</v>
      </c>
      <c r="B52" s="140"/>
      <c r="C52" s="27"/>
      <c r="D52" s="144">
        <f>C48+C51</f>
        <v>16648.17</v>
      </c>
      <c r="E52" s="46"/>
    </row>
    <row r="53" spans="1:5" s="45" customFormat="1" ht="15" customHeight="1">
      <c r="A53" s="141" t="s">
        <v>100</v>
      </c>
      <c r="B53" s="140"/>
      <c r="C53" s="27"/>
      <c r="D53" s="144">
        <f>-'[3]2Q13 Trial Balance'!D267</f>
        <v>-4254.61</v>
      </c>
      <c r="E53" s="46"/>
    </row>
    <row r="54" spans="1:5" s="45" customFormat="1" ht="15" customHeight="1">
      <c r="A54" s="143" t="s">
        <v>99</v>
      </c>
      <c r="B54" s="140"/>
      <c r="C54" s="27"/>
      <c r="D54" s="144">
        <f>SUM(D52:D53)-1</f>
        <v>12392.559999999998</v>
      </c>
      <c r="E54" s="46"/>
    </row>
    <row r="55" spans="1:6" s="45" customFormat="1" ht="15" customHeight="1">
      <c r="A55" s="304" t="s">
        <v>207</v>
      </c>
      <c r="B55" s="140"/>
      <c r="C55" s="27"/>
      <c r="D55" s="139">
        <f>-'[3]2Q13 Trial Balance'!D271</f>
        <v>5319.7699999999995</v>
      </c>
      <c r="E55" s="46"/>
      <c r="F55" s="53"/>
    </row>
    <row r="56" spans="1:6" s="45" customFormat="1" ht="15" customHeight="1">
      <c r="A56" s="138" t="s">
        <v>98</v>
      </c>
      <c r="B56" s="137"/>
      <c r="C56" s="136"/>
      <c r="D56" s="135">
        <f>D47+D54+D55+1</f>
        <v>-1062011.9</v>
      </c>
      <c r="E56" s="134"/>
      <c r="F56" s="133"/>
    </row>
    <row r="57" spans="1:5" s="45" customFormat="1" ht="15" customHeight="1">
      <c r="A57" s="128"/>
      <c r="B57" s="129"/>
      <c r="C57" s="129"/>
      <c r="D57" s="132"/>
      <c r="E57" s="46"/>
    </row>
    <row r="58" spans="1:5" s="45" customFormat="1" ht="15" customHeight="1">
      <c r="A58" s="128"/>
      <c r="B58" s="129"/>
      <c r="C58" s="129"/>
      <c r="D58" s="132"/>
      <c r="E58" s="46"/>
    </row>
    <row r="59" spans="1:5" s="45" customFormat="1" ht="15" customHeight="1">
      <c r="A59" s="128"/>
      <c r="B59" s="129"/>
      <c r="C59" s="129"/>
      <c r="D59" s="129"/>
      <c r="E59" s="46"/>
    </row>
    <row r="60" spans="1:5" s="45" customFormat="1" ht="15" customHeight="1">
      <c r="A60" s="128"/>
      <c r="B60" s="129"/>
      <c r="C60" s="129"/>
      <c r="D60" s="129"/>
      <c r="E60" s="46"/>
    </row>
    <row r="61" spans="1:5" s="45" customFormat="1" ht="15" customHeight="1">
      <c r="A61" s="128"/>
      <c r="B61" s="129"/>
      <c r="C61" s="129"/>
      <c r="D61" s="129"/>
      <c r="E61" s="46"/>
    </row>
    <row r="62" spans="1:5" s="45" customFormat="1" ht="15" customHeight="1">
      <c r="A62" s="128"/>
      <c r="B62" s="129"/>
      <c r="C62" s="129"/>
      <c r="D62" s="129"/>
      <c r="E62" s="46"/>
    </row>
    <row r="63" spans="1:5" s="45" customFormat="1" ht="15" customHeight="1">
      <c r="A63" s="128"/>
      <c r="B63" s="129"/>
      <c r="C63" s="129"/>
      <c r="D63" s="129"/>
      <c r="E63" s="46"/>
    </row>
    <row r="64" spans="1:5" s="45" customFormat="1" ht="15" customHeight="1">
      <c r="A64" s="128"/>
      <c r="B64" s="131"/>
      <c r="C64" s="129"/>
      <c r="D64" s="129"/>
      <c r="E64" s="46"/>
    </row>
    <row r="65" spans="1:5" s="45" customFormat="1" ht="15" customHeight="1">
      <c r="A65" s="128"/>
      <c r="B65" s="131"/>
      <c r="C65" s="129"/>
      <c r="D65" s="129"/>
      <c r="E65" s="46"/>
    </row>
    <row r="66" spans="1:5" s="45" customFormat="1" ht="15" customHeight="1">
      <c r="A66" s="128"/>
      <c r="B66" s="131"/>
      <c r="C66" s="129"/>
      <c r="D66" s="129"/>
      <c r="E66" s="46"/>
    </row>
    <row r="67" spans="1:5" s="45" customFormat="1" ht="15" customHeight="1">
      <c r="A67" s="128"/>
      <c r="B67" s="131"/>
      <c r="C67" s="130"/>
      <c r="D67" s="129"/>
      <c r="E67" s="46"/>
    </row>
    <row r="68" spans="1:5" s="45" customFormat="1" ht="15" customHeight="1">
      <c r="A68" s="128"/>
      <c r="B68" s="131"/>
      <c r="C68" s="129"/>
      <c r="D68" s="129"/>
      <c r="E68" s="46"/>
    </row>
    <row r="69" spans="2:5" s="45" customFormat="1" ht="15" customHeight="1">
      <c r="B69" s="131"/>
      <c r="C69" s="129"/>
      <c r="D69" s="129"/>
      <c r="E69" s="46"/>
    </row>
    <row r="70" spans="1:5" s="45" customFormat="1" ht="15" customHeight="1">
      <c r="A70" s="128"/>
      <c r="B70" s="131"/>
      <c r="C70" s="129"/>
      <c r="D70" s="129"/>
      <c r="E70" s="46"/>
    </row>
    <row r="71" spans="1:5" s="45" customFormat="1" ht="15" customHeight="1">
      <c r="A71" s="128"/>
      <c r="B71" s="131"/>
      <c r="C71" s="129"/>
      <c r="D71" s="129"/>
      <c r="E71" s="46"/>
    </row>
    <row r="72" spans="1:5" s="45" customFormat="1" ht="15" customHeight="1">
      <c r="A72" s="128"/>
      <c r="B72" s="126"/>
      <c r="C72" s="129"/>
      <c r="D72" s="129"/>
      <c r="E72" s="46"/>
    </row>
    <row r="73" spans="1:5" s="45" customFormat="1" ht="15" customHeight="1">
      <c r="A73" s="128"/>
      <c r="B73" s="129"/>
      <c r="C73" s="130"/>
      <c r="D73" s="129"/>
      <c r="E73" s="46"/>
    </row>
    <row r="74" spans="1:5" s="45" customFormat="1" ht="15" customHeight="1">
      <c r="A74" s="128"/>
      <c r="B74" s="129"/>
      <c r="C74" s="129"/>
      <c r="D74" s="129"/>
      <c r="E74" s="46"/>
    </row>
    <row r="75" spans="1:5" s="45" customFormat="1" ht="15" customHeight="1">
      <c r="A75" s="128"/>
      <c r="B75" s="129"/>
      <c r="C75" s="129"/>
      <c r="D75" s="129"/>
      <c r="E75" s="46"/>
    </row>
    <row r="76" spans="1:5" s="45" customFormat="1" ht="15" customHeight="1">
      <c r="A76" s="128"/>
      <c r="B76" s="129"/>
      <c r="C76" s="129"/>
      <c r="D76" s="129"/>
      <c r="E76" s="46"/>
    </row>
    <row r="77" spans="1:5" s="45" customFormat="1" ht="15" customHeight="1">
      <c r="A77" s="128"/>
      <c r="B77" s="129"/>
      <c r="C77" s="129"/>
      <c r="D77" s="129"/>
      <c r="E77" s="46"/>
    </row>
    <row r="78" spans="1:5" s="45" customFormat="1" ht="15" customHeight="1">
      <c r="A78" s="128"/>
      <c r="B78" s="129"/>
      <c r="C78" s="129"/>
      <c r="D78" s="129"/>
      <c r="E78" s="46"/>
    </row>
    <row r="79" spans="1:5" s="45" customFormat="1" ht="15" customHeight="1">
      <c r="A79" s="128"/>
      <c r="B79" s="129"/>
      <c r="C79" s="129"/>
      <c r="D79" s="129"/>
      <c r="E79" s="46"/>
    </row>
    <row r="80" spans="1:5" s="45" customFormat="1" ht="15" customHeight="1">
      <c r="A80" s="128"/>
      <c r="B80" s="129"/>
      <c r="C80" s="129"/>
      <c r="D80" s="129"/>
      <c r="E80" s="46"/>
    </row>
    <row r="81" spans="1:5" s="45" customFormat="1" ht="15" customHeight="1">
      <c r="A81" s="128"/>
      <c r="B81" s="129"/>
      <c r="C81" s="129"/>
      <c r="D81" s="129"/>
      <c r="E81" s="46"/>
    </row>
    <row r="82" spans="1:5" s="45" customFormat="1" ht="15" customHeight="1">
      <c r="A82" s="128"/>
      <c r="B82" s="129"/>
      <c r="C82" s="129"/>
      <c r="D82" s="129"/>
      <c r="E82" s="46"/>
    </row>
    <row r="83" spans="1:5" s="45" customFormat="1" ht="15" customHeight="1">
      <c r="A83" s="128"/>
      <c r="B83" s="129"/>
      <c r="C83" s="129"/>
      <c r="D83" s="129"/>
      <c r="E83" s="46"/>
    </row>
    <row r="84" spans="1:5" s="45" customFormat="1" ht="15" customHeight="1">
      <c r="A84" s="128"/>
      <c r="B84" s="129"/>
      <c r="C84" s="129"/>
      <c r="D84" s="129"/>
      <c r="E84" s="46"/>
    </row>
    <row r="85" spans="1:5" s="45" customFormat="1" ht="15" customHeight="1">
      <c r="A85" s="128"/>
      <c r="B85" s="129"/>
      <c r="C85" s="129"/>
      <c r="D85" s="129"/>
      <c r="E85" s="46"/>
    </row>
    <row r="86" spans="1:5" s="45" customFormat="1" ht="15" customHeight="1">
      <c r="A86" s="128"/>
      <c r="B86" s="129"/>
      <c r="C86" s="129"/>
      <c r="D86" s="129"/>
      <c r="E86" s="46"/>
    </row>
    <row r="87" spans="1:5" s="45" customFormat="1" ht="15" customHeight="1">
      <c r="A87" s="128"/>
      <c r="B87" s="129"/>
      <c r="C87" s="129"/>
      <c r="D87" s="129"/>
      <c r="E87" s="46"/>
    </row>
    <row r="88" spans="1:5" s="45" customFormat="1" ht="15" customHeight="1">
      <c r="A88" s="128"/>
      <c r="B88" s="129"/>
      <c r="C88" s="129"/>
      <c r="D88" s="129"/>
      <c r="E88" s="46"/>
    </row>
    <row r="89" spans="1:5" s="45" customFormat="1" ht="15" customHeight="1">
      <c r="A89" s="128"/>
      <c r="B89" s="129"/>
      <c r="C89" s="126"/>
      <c r="D89" s="126"/>
      <c r="E89" s="46"/>
    </row>
    <row r="90" spans="1:5" s="45" customFormat="1" ht="15" customHeight="1">
      <c r="A90" s="128"/>
      <c r="B90" s="129"/>
      <c r="C90" s="126"/>
      <c r="D90" s="126"/>
      <c r="E90" s="46"/>
    </row>
    <row r="91" spans="1:5" s="45" customFormat="1" ht="15" customHeight="1">
      <c r="A91" s="128"/>
      <c r="B91" s="129"/>
      <c r="C91" s="126"/>
      <c r="D91" s="126"/>
      <c r="E91" s="46"/>
    </row>
    <row r="92" spans="1:5" s="45" customFormat="1" ht="15" customHeight="1">
      <c r="A92" s="128"/>
      <c r="B92" s="126"/>
      <c r="C92" s="126"/>
      <c r="D92" s="126"/>
      <c r="E92" s="46"/>
    </row>
    <row r="93" spans="1:5" s="45" customFormat="1" ht="15" customHeight="1">
      <c r="A93" s="128"/>
      <c r="B93" s="126"/>
      <c r="C93" s="126"/>
      <c r="D93" s="126"/>
      <c r="E93" s="46"/>
    </row>
    <row r="94" spans="1:5" s="45" customFormat="1" ht="15" customHeight="1">
      <c r="A94" s="128"/>
      <c r="B94" s="126"/>
      <c r="C94" s="126"/>
      <c r="D94" s="126"/>
      <c r="E94" s="46"/>
    </row>
    <row r="95" spans="1:5" s="45" customFormat="1" ht="15" customHeight="1">
      <c r="A95" s="128"/>
      <c r="B95" s="126"/>
      <c r="C95" s="126"/>
      <c r="D95" s="126"/>
      <c r="E95" s="46"/>
    </row>
    <row r="96" spans="1:5" s="45" customFormat="1" ht="15" customHeight="1">
      <c r="A96" s="128"/>
      <c r="B96" s="126"/>
      <c r="C96" s="126"/>
      <c r="D96" s="126"/>
      <c r="E96" s="46"/>
    </row>
    <row r="97" spans="1:5" s="45" customFormat="1" ht="15" customHeight="1">
      <c r="A97" s="128"/>
      <c r="B97" s="126"/>
      <c r="C97" s="126"/>
      <c r="D97" s="126"/>
      <c r="E97" s="46"/>
    </row>
    <row r="98" spans="1:5" s="45" customFormat="1" ht="15" customHeight="1">
      <c r="A98" s="128"/>
      <c r="B98" s="126"/>
      <c r="C98" s="126"/>
      <c r="D98" s="126"/>
      <c r="E98" s="46"/>
    </row>
    <row r="99" spans="1:5" s="45" customFormat="1" ht="15" customHeight="1">
      <c r="A99" s="128"/>
      <c r="B99" s="126"/>
      <c r="C99" s="126"/>
      <c r="D99" s="126"/>
      <c r="E99" s="46"/>
    </row>
    <row r="100" spans="1:5" s="45" customFormat="1" ht="15" customHeight="1">
      <c r="A100" s="128"/>
      <c r="B100" s="126"/>
      <c r="C100" s="126"/>
      <c r="D100" s="126"/>
      <c r="E100" s="46"/>
    </row>
    <row r="101" spans="1:5" s="45" customFormat="1" ht="15" customHeight="1">
      <c r="A101" s="128"/>
      <c r="B101" s="126"/>
      <c r="C101" s="126"/>
      <c r="D101" s="126"/>
      <c r="E101" s="46"/>
    </row>
    <row r="102" spans="1:5" s="45" customFormat="1" ht="15" customHeight="1">
      <c r="A102" s="128"/>
      <c r="B102" s="126"/>
      <c r="C102" s="126"/>
      <c r="D102" s="126"/>
      <c r="E102" s="46"/>
    </row>
    <row r="103" spans="1:5" s="45" customFormat="1" ht="15" customHeight="1">
      <c r="A103" s="128"/>
      <c r="B103" s="126"/>
      <c r="C103" s="126"/>
      <c r="D103" s="126"/>
      <c r="E103" s="46"/>
    </row>
    <row r="104" spans="1:5" s="45" customFormat="1" ht="15" customHeight="1">
      <c r="A104" s="128"/>
      <c r="B104" s="126"/>
      <c r="C104" s="126"/>
      <c r="D104" s="126"/>
      <c r="E104" s="46"/>
    </row>
    <row r="105" spans="1:5" s="45" customFormat="1" ht="15" customHeight="1">
      <c r="A105" s="128"/>
      <c r="B105" s="126"/>
      <c r="C105" s="126"/>
      <c r="D105" s="126"/>
      <c r="E105" s="46"/>
    </row>
    <row r="106" spans="1:5" s="45" customFormat="1" ht="15" customHeight="1">
      <c r="A106" s="128"/>
      <c r="B106" s="126"/>
      <c r="C106" s="126"/>
      <c r="D106" s="126"/>
      <c r="E106" s="46"/>
    </row>
    <row r="107" spans="1:5" s="45" customFormat="1" ht="15" customHeight="1">
      <c r="A107" s="128"/>
      <c r="B107" s="126"/>
      <c r="C107" s="126"/>
      <c r="D107" s="126"/>
      <c r="E107" s="46"/>
    </row>
    <row r="108" spans="1:5" s="45" customFormat="1" ht="15" customHeight="1">
      <c r="A108" s="128"/>
      <c r="B108" s="126"/>
      <c r="C108" s="126"/>
      <c r="D108" s="126"/>
      <c r="E108" s="46"/>
    </row>
    <row r="109" spans="1:5" s="45" customFormat="1" ht="15" customHeight="1">
      <c r="A109" s="128"/>
      <c r="B109" s="126"/>
      <c r="C109" s="126"/>
      <c r="D109" s="126"/>
      <c r="E109" s="46"/>
    </row>
    <row r="110" spans="1:5" s="45" customFormat="1" ht="15" customHeight="1">
      <c r="A110" s="128"/>
      <c r="B110" s="126"/>
      <c r="C110" s="126"/>
      <c r="D110" s="126"/>
      <c r="E110" s="46"/>
    </row>
    <row r="111" spans="1:5" s="45" customFormat="1" ht="15" customHeight="1">
      <c r="A111" s="128"/>
      <c r="B111" s="126"/>
      <c r="C111" s="126"/>
      <c r="D111" s="126"/>
      <c r="E111" s="46"/>
    </row>
    <row r="112" spans="1:5" s="45" customFormat="1" ht="15" customHeight="1">
      <c r="A112" s="128"/>
      <c r="B112" s="126"/>
      <c r="C112" s="126"/>
      <c r="D112" s="126"/>
      <c r="E112" s="46"/>
    </row>
    <row r="113" spans="1:5" s="45" customFormat="1" ht="15" customHeight="1">
      <c r="A113" s="128"/>
      <c r="B113" s="126"/>
      <c r="C113" s="126"/>
      <c r="D113" s="126"/>
      <c r="E113" s="46"/>
    </row>
    <row r="114" spans="1:5" s="45" customFormat="1" ht="15" customHeight="1">
      <c r="A114" s="128"/>
      <c r="B114" s="126"/>
      <c r="C114" s="126"/>
      <c r="D114" s="126"/>
      <c r="E114" s="46"/>
    </row>
    <row r="115" spans="1:5" s="45" customFormat="1" ht="15" customHeight="1">
      <c r="A115" s="128"/>
      <c r="B115" s="126"/>
      <c r="C115" s="126"/>
      <c r="D115" s="126"/>
      <c r="E115" s="46"/>
    </row>
    <row r="116" spans="1:5" s="45" customFormat="1" ht="15" customHeight="1">
      <c r="A116" s="128"/>
      <c r="B116" s="126"/>
      <c r="C116" s="126"/>
      <c r="D116" s="126"/>
      <c r="E116" s="46"/>
    </row>
    <row r="117" spans="1:5" s="45" customFormat="1" ht="15" customHeight="1">
      <c r="A117" s="128"/>
      <c r="B117" s="126"/>
      <c r="C117" s="126"/>
      <c r="D117" s="126"/>
      <c r="E117" s="46"/>
    </row>
    <row r="118" spans="1:5" s="45" customFormat="1" ht="15" customHeight="1">
      <c r="A118" s="128"/>
      <c r="B118" s="126"/>
      <c r="C118" s="126"/>
      <c r="D118" s="126"/>
      <c r="E118" s="46"/>
    </row>
    <row r="119" spans="1:5" s="45" customFormat="1" ht="15" customHeight="1">
      <c r="A119" s="128"/>
      <c r="B119" s="126"/>
      <c r="C119" s="126"/>
      <c r="D119" s="126"/>
      <c r="E119" s="46"/>
    </row>
    <row r="120" spans="1:5" s="45" customFormat="1" ht="15" customHeight="1">
      <c r="A120" s="128"/>
      <c r="B120" s="126"/>
      <c r="C120" s="126"/>
      <c r="D120" s="126"/>
      <c r="E120" s="46"/>
    </row>
    <row r="121" spans="1:5" s="45" customFormat="1" ht="15" customHeight="1">
      <c r="A121" s="127"/>
      <c r="B121" s="126"/>
      <c r="C121" s="126"/>
      <c r="D121" s="126"/>
      <c r="E121" s="46"/>
    </row>
    <row r="122" spans="1:5" s="45" customFormat="1" ht="15" customHeight="1">
      <c r="A122" s="127"/>
      <c r="B122" s="126"/>
      <c r="C122" s="126"/>
      <c r="D122" s="126"/>
      <c r="E122" s="46"/>
    </row>
    <row r="123" spans="1:5" s="45" customFormat="1" ht="15" customHeight="1">
      <c r="A123" s="127"/>
      <c r="B123" s="126"/>
      <c r="C123" s="126"/>
      <c r="D123" s="126"/>
      <c r="E123" s="46"/>
    </row>
    <row r="124" spans="1:5" s="45" customFormat="1" ht="15" customHeight="1">
      <c r="A124" s="127"/>
      <c r="B124" s="126"/>
      <c r="C124" s="126"/>
      <c r="D124" s="126"/>
      <c r="E124" s="46"/>
    </row>
    <row r="125" spans="1:5" s="45" customFormat="1" ht="15" customHeight="1">
      <c r="A125" s="127"/>
      <c r="B125" s="126"/>
      <c r="C125" s="126"/>
      <c r="D125" s="126"/>
      <c r="E125" s="46"/>
    </row>
    <row r="126" spans="1:5" s="45" customFormat="1" ht="15" customHeight="1">
      <c r="A126" s="127"/>
      <c r="B126" s="126"/>
      <c r="C126" s="126"/>
      <c r="D126" s="126"/>
      <c r="E126" s="46"/>
    </row>
    <row r="127" spans="1:5" s="45" customFormat="1" ht="15" customHeight="1">
      <c r="A127" s="127"/>
      <c r="B127" s="126"/>
      <c r="C127" s="126"/>
      <c r="D127" s="126"/>
      <c r="E127" s="46"/>
    </row>
    <row r="128" ht="15" customHeight="1">
      <c r="A128" s="125"/>
    </row>
    <row r="129" s="70" customFormat="1" ht="15" customHeight="1">
      <c r="A129" s="125"/>
    </row>
    <row r="130" s="70" customFormat="1" ht="15" customHeight="1">
      <c r="A130" s="125"/>
    </row>
    <row r="131" s="70" customFormat="1" ht="15" customHeight="1">
      <c r="A131" s="125"/>
    </row>
    <row r="132" s="70" customFormat="1" ht="15" customHeight="1">
      <c r="A132" s="125"/>
    </row>
    <row r="133" s="70" customFormat="1" ht="15" customHeight="1">
      <c r="A133" s="125"/>
    </row>
    <row r="134" s="70" customFormat="1" ht="15" customHeight="1">
      <c r="A134" s="125"/>
    </row>
    <row r="135" s="70" customFormat="1" ht="15" customHeight="1">
      <c r="A135" s="125"/>
    </row>
    <row r="136" s="70" customFormat="1" ht="15" customHeight="1">
      <c r="A136" s="125"/>
    </row>
    <row r="137" s="70" customFormat="1" ht="15" customHeight="1">
      <c r="A137" s="125"/>
    </row>
    <row r="138" s="70" customFormat="1" ht="15" customHeight="1">
      <c r="A138" s="125"/>
    </row>
    <row r="139" s="70" customFormat="1" ht="15" customHeight="1">
      <c r="A139" s="125"/>
    </row>
    <row r="140" s="70" customFormat="1" ht="15" customHeight="1">
      <c r="A140" s="125"/>
    </row>
    <row r="141" s="70" customFormat="1" ht="15" customHeight="1">
      <c r="A141" s="125"/>
    </row>
    <row r="142" s="70" customFormat="1" ht="15" customHeight="1">
      <c r="A142" s="125"/>
    </row>
    <row r="143" s="70" customFormat="1" ht="15" customHeight="1">
      <c r="A143" s="125"/>
    </row>
    <row r="144" s="70" customFormat="1" ht="15" customHeight="1">
      <c r="A144" s="125"/>
    </row>
    <row r="145" s="70" customFormat="1" ht="15" customHeight="1">
      <c r="A145" s="125"/>
    </row>
    <row r="146" s="70" customFormat="1" ht="15" customHeight="1">
      <c r="A146" s="125"/>
    </row>
    <row r="147" s="70" customFormat="1" ht="15" customHeight="1">
      <c r="A147" s="125"/>
    </row>
    <row r="148" s="70" customFormat="1" ht="15" customHeight="1">
      <c r="A148" s="125"/>
    </row>
    <row r="149" s="70" customFormat="1" ht="15" customHeight="1">
      <c r="A149" s="125"/>
    </row>
    <row r="150" s="70" customFormat="1" ht="15" customHeight="1">
      <c r="A150" s="125"/>
    </row>
    <row r="151" s="70" customFormat="1" ht="15" customHeight="1">
      <c r="A151" s="125"/>
    </row>
    <row r="152" s="70" customFormat="1" ht="15" customHeight="1">
      <c r="A152" s="125"/>
    </row>
    <row r="153" s="70" customFormat="1" ht="15" customHeight="1">
      <c r="A153" s="125"/>
    </row>
    <row r="154" s="70" customFormat="1" ht="15" customHeight="1">
      <c r="A154" s="125"/>
    </row>
    <row r="155" s="70" customFormat="1" ht="15" customHeight="1">
      <c r="A155" s="125"/>
    </row>
    <row r="156" s="70" customFormat="1" ht="15" customHeight="1">
      <c r="A156" s="125"/>
    </row>
    <row r="157" s="70" customFormat="1" ht="15" customHeight="1">
      <c r="A157" s="125"/>
    </row>
    <row r="158" s="70" customFormat="1" ht="15" customHeight="1">
      <c r="A158" s="125"/>
    </row>
    <row r="159" s="70" customFormat="1" ht="15" customHeight="1">
      <c r="A159" s="125"/>
    </row>
    <row r="160" s="70" customFormat="1" ht="15" customHeight="1">
      <c r="A160" s="125"/>
    </row>
    <row r="161" s="70" customFormat="1" ht="15" customHeight="1">
      <c r="A161" s="125"/>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sheetPr codeName="Sheet6"/>
  <dimension ref="A1:G161"/>
  <sheetViews>
    <sheetView zoomScalePageLayoutView="0" workbookViewId="0" topLeftCell="A1">
      <selection activeCell="A1" sqref="A1:D1"/>
    </sheetView>
  </sheetViews>
  <sheetFormatPr defaultColWidth="15.7109375" defaultRowHeight="15" customHeight="1"/>
  <cols>
    <col min="1" max="1" width="60.7109375" style="70" customWidth="1"/>
    <col min="2" max="4" width="18.7109375" style="124" customWidth="1"/>
    <col min="5" max="5" width="15.7109375" style="123" customWidth="1"/>
    <col min="6" max="16384" width="15.7109375" style="70" customWidth="1"/>
  </cols>
  <sheetData>
    <row r="1" spans="1:5" s="168" customFormat="1" ht="30" customHeight="1">
      <c r="A1" s="328" t="s">
        <v>0</v>
      </c>
      <c r="B1" s="329"/>
      <c r="C1" s="329"/>
      <c r="D1" s="330"/>
      <c r="E1" s="169"/>
    </row>
    <row r="2" spans="1:5" s="165" customFormat="1" ht="15" customHeight="1">
      <c r="A2" s="331"/>
      <c r="B2" s="332"/>
      <c r="C2" s="332"/>
      <c r="D2" s="333"/>
      <c r="E2" s="166"/>
    </row>
    <row r="3" spans="1:5" s="165" customFormat="1" ht="15" customHeight="1">
      <c r="A3" s="325" t="s">
        <v>142</v>
      </c>
      <c r="B3" s="326"/>
      <c r="C3" s="326"/>
      <c r="D3" s="327"/>
      <c r="E3" s="166"/>
    </row>
    <row r="4" spans="1:5" s="165" customFormat="1" ht="15" customHeight="1">
      <c r="A4" s="325" t="s">
        <v>141</v>
      </c>
      <c r="B4" s="326"/>
      <c r="C4" s="326"/>
      <c r="D4" s="327"/>
      <c r="E4" s="166"/>
    </row>
    <row r="5" spans="1:5" s="165" customFormat="1" ht="15" customHeight="1">
      <c r="A5" s="325" t="s">
        <v>177</v>
      </c>
      <c r="B5" s="326"/>
      <c r="C5" s="326"/>
      <c r="D5" s="327"/>
      <c r="E5" s="166"/>
    </row>
    <row r="6" spans="1:5" s="165" customFormat="1" ht="15" customHeight="1">
      <c r="A6" s="167"/>
      <c r="B6" s="163"/>
      <c r="C6" s="163"/>
      <c r="D6" s="162"/>
      <c r="E6" s="166"/>
    </row>
    <row r="7" spans="1:5" s="45" customFormat="1" ht="15" customHeight="1">
      <c r="A7" s="164"/>
      <c r="B7" s="163"/>
      <c r="C7" s="163"/>
      <c r="D7" s="162"/>
      <c r="E7" s="46"/>
    </row>
    <row r="8" spans="1:5" s="45" customFormat="1" ht="15" customHeight="1">
      <c r="A8" s="158" t="s">
        <v>140</v>
      </c>
      <c r="B8" s="161" t="s">
        <v>191</v>
      </c>
      <c r="C8" s="160"/>
      <c r="D8" s="159"/>
      <c r="E8" s="46"/>
    </row>
    <row r="9" spans="1:5" s="45" customFormat="1" ht="15" customHeight="1">
      <c r="A9" s="158"/>
      <c r="B9" s="157" t="s">
        <v>64</v>
      </c>
      <c r="C9" s="156"/>
      <c r="D9" s="155"/>
      <c r="E9" s="46"/>
    </row>
    <row r="10" spans="1:5" s="45" customFormat="1" ht="15" customHeight="1">
      <c r="A10" s="154"/>
      <c r="B10" s="153" t="s">
        <v>43</v>
      </c>
      <c r="C10" s="152"/>
      <c r="D10" s="145"/>
      <c r="E10" s="46"/>
    </row>
    <row r="11" spans="1:5" s="45" customFormat="1" ht="15" customHeight="1">
      <c r="A11" s="143" t="s">
        <v>139</v>
      </c>
      <c r="B11" s="140"/>
      <c r="C11" s="14">
        <f>'Premiums YTD-8'!$F$12</f>
        <v>5404353</v>
      </c>
      <c r="D11" s="145"/>
      <c r="E11" s="46"/>
    </row>
    <row r="12" spans="1:5" s="45" customFormat="1" ht="15" customHeight="1">
      <c r="A12" s="143"/>
      <c r="B12" s="140"/>
      <c r="C12" s="29"/>
      <c r="D12" s="145"/>
      <c r="E12" s="46"/>
    </row>
    <row r="13" spans="1:5" s="45" customFormat="1" ht="15" customHeight="1">
      <c r="A13" s="141" t="s">
        <v>138</v>
      </c>
      <c r="B13" s="140">
        <f>'Premiums YTD-8'!$F$18</f>
        <v>5503718.6</v>
      </c>
      <c r="C13" s="27"/>
      <c r="D13" s="145"/>
      <c r="E13" s="46"/>
    </row>
    <row r="14" spans="1:5" s="45" customFormat="1" ht="15" customHeight="1">
      <c r="A14" s="141" t="s">
        <v>137</v>
      </c>
      <c r="B14" s="137">
        <f>'Premiums YTD-8'!$F$24</f>
        <v>5554113.430000001</v>
      </c>
      <c r="C14" s="27"/>
      <c r="D14" s="145"/>
      <c r="E14" s="46"/>
    </row>
    <row r="15" spans="1:5" s="45" customFormat="1" ht="15" customHeight="1">
      <c r="A15" s="141" t="s">
        <v>136</v>
      </c>
      <c r="B15" s="140"/>
      <c r="C15" s="136">
        <f>B14-B13-1</f>
        <v>50393.830000001006</v>
      </c>
      <c r="D15" s="145"/>
      <c r="E15" s="46"/>
    </row>
    <row r="16" spans="1:5" s="45" customFormat="1" ht="15" customHeight="1">
      <c r="A16" s="143" t="s">
        <v>135</v>
      </c>
      <c r="B16" s="140"/>
      <c r="C16" s="27"/>
      <c r="D16" s="151">
        <f>C11+C15</f>
        <v>5454746.830000001</v>
      </c>
      <c r="E16" s="46"/>
    </row>
    <row r="17" spans="1:4" s="45" customFormat="1" ht="15" customHeight="1">
      <c r="A17" s="141" t="s">
        <v>134</v>
      </c>
      <c r="B17" s="140"/>
      <c r="C17" s="27">
        <f>'[3]Loss Expenses Paid YTD-16'!$E$36</f>
        <v>10537559.920000002</v>
      </c>
      <c r="D17" s="145"/>
    </row>
    <row r="18" spans="1:4" s="45" customFormat="1" ht="15" customHeight="1">
      <c r="A18" s="141" t="s">
        <v>133</v>
      </c>
      <c r="B18" s="140"/>
      <c r="C18" s="136">
        <f>-'[3]2Q13 Trial Balance'!$F$291</f>
        <v>6505.129999999999</v>
      </c>
      <c r="D18" s="145"/>
    </row>
    <row r="19" spans="1:5" s="45" customFormat="1" ht="15" customHeight="1">
      <c r="A19" s="143" t="s">
        <v>132</v>
      </c>
      <c r="B19" s="140"/>
      <c r="C19" s="27">
        <f>C17-C18</f>
        <v>10531054.790000001</v>
      </c>
      <c r="D19" s="145"/>
      <c r="E19" s="46"/>
    </row>
    <row r="20" spans="1:5" s="45" customFormat="1" ht="15" customHeight="1">
      <c r="A20" s="141" t="s">
        <v>131</v>
      </c>
      <c r="B20" s="140">
        <f>'Losses Incurred YTD-10'!F18+'Losses Incurred YTD-10'!F24</f>
        <v>2963275.99</v>
      </c>
      <c r="C20" s="27" t="s">
        <v>43</v>
      </c>
      <c r="D20" s="145"/>
      <c r="E20" s="46"/>
    </row>
    <row r="21" spans="1:5" s="45" customFormat="1" ht="15" customHeight="1">
      <c r="A21" s="141" t="s">
        <v>130</v>
      </c>
      <c r="B21" s="137">
        <f>'Losses Incurred YTD-10'!$F$31</f>
        <v>9249066.31</v>
      </c>
      <c r="C21" s="27"/>
      <c r="D21" s="145"/>
      <c r="E21" s="46"/>
    </row>
    <row r="22" spans="1:5" s="45" customFormat="1" ht="15" customHeight="1">
      <c r="A22" s="141" t="s">
        <v>129</v>
      </c>
      <c r="B22" s="150"/>
      <c r="C22" s="296">
        <f>B20-B21</f>
        <v>-6285790.32</v>
      </c>
      <c r="D22" s="145"/>
      <c r="E22" s="46"/>
    </row>
    <row r="23" spans="1:6" s="45" customFormat="1" ht="15" customHeight="1">
      <c r="A23" s="143" t="s">
        <v>128</v>
      </c>
      <c r="B23" s="140"/>
      <c r="C23" s="27"/>
      <c r="D23" s="145">
        <f>C19+C22+1</f>
        <v>4245265.470000001</v>
      </c>
      <c r="E23" s="27"/>
      <c r="F23" s="53"/>
    </row>
    <row r="24" spans="1:5" s="45" customFormat="1" ht="15" customHeight="1">
      <c r="A24" s="141" t="s">
        <v>127</v>
      </c>
      <c r="B24" s="140"/>
      <c r="C24" s="27">
        <f>'[3]Loss Expenses Paid YTD-16'!$C$36</f>
        <v>1356904.0100000002</v>
      </c>
      <c r="D24" s="145"/>
      <c r="E24" s="149"/>
    </row>
    <row r="25" spans="1:5" s="45" customFormat="1" ht="15" customHeight="1">
      <c r="A25" s="141" t="s">
        <v>126</v>
      </c>
      <c r="B25" s="140"/>
      <c r="C25" s="136">
        <f>'[3]Loss Expenses Paid YTD-16'!$I$36</f>
        <v>376840.29</v>
      </c>
      <c r="D25" s="145"/>
      <c r="E25" s="149"/>
    </row>
    <row r="26" spans="1:5" s="45" customFormat="1" ht="15" customHeight="1">
      <c r="A26" s="143" t="s">
        <v>125</v>
      </c>
      <c r="B26" s="140"/>
      <c r="C26" s="27">
        <f>C24+C25</f>
        <v>1733744.3000000003</v>
      </c>
      <c r="D26" s="145"/>
      <c r="E26" s="27"/>
    </row>
    <row r="27" spans="1:5" s="45" customFormat="1" ht="15" customHeight="1">
      <c r="A27" s="141" t="s">
        <v>124</v>
      </c>
      <c r="B27" s="140">
        <f>'Loss Expenses YTD-12'!$F$18</f>
        <v>352124.89</v>
      </c>
      <c r="C27" s="27"/>
      <c r="D27" s="145"/>
      <c r="E27" s="149"/>
    </row>
    <row r="28" spans="1:5" s="45" customFormat="1" ht="15" customHeight="1">
      <c r="A28" s="141" t="s">
        <v>123</v>
      </c>
      <c r="B28" s="137">
        <f>'Loss Expenses YTD-12'!$F$24</f>
        <v>379601.61</v>
      </c>
      <c r="C28" s="27"/>
      <c r="D28" s="145"/>
      <c r="E28" s="27"/>
    </row>
    <row r="29" spans="1:7" s="45" customFormat="1" ht="15" customHeight="1">
      <c r="A29" s="141" t="s">
        <v>122</v>
      </c>
      <c r="B29" s="140"/>
      <c r="C29" s="296">
        <f>B27-B28</f>
        <v>-27476.719999999972</v>
      </c>
      <c r="D29" s="145"/>
      <c r="E29" s="149"/>
      <c r="G29" s="53"/>
    </row>
    <row r="30" spans="1:6" s="45" customFormat="1" ht="15" customHeight="1">
      <c r="A30" s="143" t="s">
        <v>121</v>
      </c>
      <c r="B30" s="140"/>
      <c r="C30" s="27"/>
      <c r="D30" s="142">
        <f>C26+C29-1</f>
        <v>1706266.5800000003</v>
      </c>
      <c r="E30" s="27"/>
      <c r="F30" s="53"/>
    </row>
    <row r="31" spans="1:6" s="45" customFormat="1" ht="15" customHeight="1">
      <c r="A31" s="143" t="s">
        <v>120</v>
      </c>
      <c r="B31" s="140"/>
      <c r="C31" s="27"/>
      <c r="D31" s="146">
        <f>D23+D30</f>
        <v>5951532.050000001</v>
      </c>
      <c r="E31" s="27"/>
      <c r="F31" s="53"/>
    </row>
    <row r="32" spans="1:6" s="45" customFormat="1" ht="15" customHeight="1">
      <c r="A32" s="141" t="s">
        <v>119</v>
      </c>
      <c r="B32" s="140"/>
      <c r="C32" s="27">
        <f>14500.26+148.01-150+22650+28396.2</f>
        <v>65544.47</v>
      </c>
      <c r="D32" s="145"/>
      <c r="E32" s="149"/>
      <c r="F32" s="53"/>
    </row>
    <row r="33" spans="1:7" s="45" customFormat="1" ht="15" customHeight="1">
      <c r="A33" s="141" t="s">
        <v>112</v>
      </c>
      <c r="B33" s="297">
        <f>-'[3]2Q13 Trial Balance'!$F$124</f>
        <v>240.91</v>
      </c>
      <c r="C33" s="27"/>
      <c r="D33" s="145"/>
      <c r="E33" s="46"/>
      <c r="G33" s="53"/>
    </row>
    <row r="34" spans="1:7" s="45" customFormat="1" ht="15" customHeight="1">
      <c r="A34" s="141" t="s">
        <v>111</v>
      </c>
      <c r="B34" s="137">
        <v>39370.68</v>
      </c>
      <c r="C34" s="27"/>
      <c r="D34" s="145"/>
      <c r="E34" s="46"/>
      <c r="G34" s="53"/>
    </row>
    <row r="35" spans="1:5" s="45" customFormat="1" ht="15" customHeight="1">
      <c r="A35" s="141" t="s">
        <v>118</v>
      </c>
      <c r="B35" s="140"/>
      <c r="C35" s="296">
        <f>B33-B34</f>
        <v>-39129.77</v>
      </c>
      <c r="D35" s="145"/>
      <c r="E35" s="46"/>
    </row>
    <row r="36" spans="1:6" s="45" customFormat="1" ht="15" customHeight="1">
      <c r="A36" s="143" t="s">
        <v>117</v>
      </c>
      <c r="B36" s="140"/>
      <c r="C36" s="27" t="s">
        <v>43</v>
      </c>
      <c r="D36" s="298">
        <f>C32+C35-1</f>
        <v>26413.700000000004</v>
      </c>
      <c r="E36" s="46"/>
      <c r="F36" s="53"/>
    </row>
    <row r="37" spans="1:5" s="45" customFormat="1" ht="15" customHeight="1">
      <c r="A37" s="141" t="s">
        <v>116</v>
      </c>
      <c r="B37" s="140"/>
      <c r="C37" s="27">
        <f>'[3]2Q13 Trial Balance'!$F$389</f>
        <v>465175.2</v>
      </c>
      <c r="D37" s="145"/>
      <c r="E37" s="46"/>
    </row>
    <row r="38" spans="1:5" s="45" customFormat="1" ht="15" customHeight="1">
      <c r="A38" s="141" t="s">
        <v>115</v>
      </c>
      <c r="B38" s="140"/>
      <c r="C38" s="27">
        <f>'[3]2Q13 Trial Balance'!$F$400</f>
        <v>76747.13</v>
      </c>
      <c r="D38" s="145"/>
      <c r="E38" s="148"/>
    </row>
    <row r="39" spans="1:6" s="45" customFormat="1" ht="15" customHeight="1">
      <c r="A39" s="141" t="s">
        <v>114</v>
      </c>
      <c r="B39" s="140"/>
      <c r="C39" s="136">
        <f>'[3]2Q13 Trial Balance'!$F$623-C43-3</f>
        <v>2023697.4099999995</v>
      </c>
      <c r="D39" s="145"/>
      <c r="E39" s="148"/>
      <c r="F39" s="46"/>
    </row>
    <row r="40" spans="1:6" s="45" customFormat="1" ht="15" customHeight="1">
      <c r="A40" s="143" t="s">
        <v>113</v>
      </c>
      <c r="B40" s="140"/>
      <c r="C40" s="27">
        <f>SUM(C37:C39)-1</f>
        <v>2565618.7399999993</v>
      </c>
      <c r="D40" s="145"/>
      <c r="E40" s="148"/>
      <c r="F40" s="46"/>
    </row>
    <row r="41" spans="1:5" s="45" customFormat="1" ht="15" customHeight="1">
      <c r="A41" s="141" t="s">
        <v>112</v>
      </c>
      <c r="B41" s="140">
        <f>-'[3]2Q13 Trial Balance'!$F$139</f>
        <v>147430.66999999998</v>
      </c>
      <c r="C41" s="27"/>
      <c r="D41" s="145"/>
      <c r="E41" s="148"/>
    </row>
    <row r="42" spans="1:5" s="45" customFormat="1" ht="15" customHeight="1">
      <c r="A42" s="141" t="s">
        <v>111</v>
      </c>
      <c r="B42" s="137">
        <v>150194.15999999997</v>
      </c>
      <c r="C42" s="27" t="s">
        <v>43</v>
      </c>
      <c r="D42" s="145"/>
      <c r="E42" s="46"/>
    </row>
    <row r="43" spans="1:5" s="45" customFormat="1" ht="15" customHeight="1">
      <c r="A43" s="141" t="s">
        <v>110</v>
      </c>
      <c r="B43" s="140"/>
      <c r="C43" s="296">
        <f>+B41-B42</f>
        <v>-2763.4899999999907</v>
      </c>
      <c r="D43" s="145"/>
      <c r="E43" s="46"/>
    </row>
    <row r="44" spans="1:6" s="45" customFormat="1" ht="15" customHeight="1">
      <c r="A44" s="143" t="s">
        <v>109</v>
      </c>
      <c r="B44" s="140"/>
      <c r="C44" s="27"/>
      <c r="D44" s="142">
        <f>SUM(C40:C43)+1</f>
        <v>2562856.249999999</v>
      </c>
      <c r="E44" s="46"/>
      <c r="F44" s="46"/>
    </row>
    <row r="45" spans="1:6" s="45" customFormat="1" ht="15" customHeight="1">
      <c r="A45" s="143" t="s">
        <v>108</v>
      </c>
      <c r="B45" s="140"/>
      <c r="C45" s="27"/>
      <c r="D45" s="139">
        <f>SUM(D36:D44)</f>
        <v>2589269.9499999993</v>
      </c>
      <c r="E45" s="46"/>
      <c r="F45" s="147"/>
    </row>
    <row r="46" spans="1:6" s="45" customFormat="1" ht="15" customHeight="1">
      <c r="A46" s="143" t="s">
        <v>107</v>
      </c>
      <c r="B46" s="140"/>
      <c r="C46" s="27"/>
      <c r="D46" s="135">
        <f>+D31+D45</f>
        <v>8540802</v>
      </c>
      <c r="E46" s="46"/>
      <c r="F46" s="147"/>
    </row>
    <row r="47" spans="1:6" s="45" customFormat="1" ht="15" customHeight="1">
      <c r="A47" s="143" t="s">
        <v>106</v>
      </c>
      <c r="B47" s="140"/>
      <c r="C47" s="27"/>
      <c r="D47" s="146">
        <f>D16-D31-D45</f>
        <v>-3086055.169999999</v>
      </c>
      <c r="E47" s="134"/>
      <c r="F47" s="46"/>
    </row>
    <row r="48" spans="1:6" s="45" customFormat="1" ht="15" customHeight="1">
      <c r="A48" s="141" t="s">
        <v>105</v>
      </c>
      <c r="B48" s="140"/>
      <c r="C48" s="27">
        <f>-'[3]2Q13 Trial Balance'!$F$260-C51</f>
        <v>26326.129999999997</v>
      </c>
      <c r="D48" s="145"/>
      <c r="E48" s="53"/>
      <c r="F48" s="53"/>
    </row>
    <row r="49" spans="1:5" s="45" customFormat="1" ht="15" customHeight="1">
      <c r="A49" s="141" t="s">
        <v>104</v>
      </c>
      <c r="B49" s="140">
        <f>'[3]2Q13 Trial Balance'!$F$38</f>
        <v>9990.1</v>
      </c>
      <c r="C49" s="27"/>
      <c r="D49" s="145"/>
      <c r="E49" s="46"/>
    </row>
    <row r="50" spans="1:5" s="45" customFormat="1" ht="15" customHeight="1">
      <c r="A50" s="141" t="s">
        <v>103</v>
      </c>
      <c r="B50" s="137">
        <v>11914.7</v>
      </c>
      <c r="C50" s="27"/>
      <c r="D50" s="145"/>
      <c r="E50" s="46"/>
    </row>
    <row r="51" spans="1:5" s="45" customFormat="1" ht="15" customHeight="1">
      <c r="A51" s="141" t="s">
        <v>102</v>
      </c>
      <c r="B51" s="140"/>
      <c r="C51" s="296">
        <f>B49-B50</f>
        <v>-1924.6000000000004</v>
      </c>
      <c r="D51" s="145"/>
      <c r="E51" s="46"/>
    </row>
    <row r="52" spans="1:5" s="45" customFormat="1" ht="15" customHeight="1">
      <c r="A52" s="143" t="s">
        <v>101</v>
      </c>
      <c r="B52" s="140"/>
      <c r="C52" s="27"/>
      <c r="D52" s="144">
        <f>C48+C51-1</f>
        <v>24400.53</v>
      </c>
      <c r="E52" s="46"/>
    </row>
    <row r="53" spans="1:5" s="45" customFormat="1" ht="15" customHeight="1">
      <c r="A53" s="141" t="s">
        <v>100</v>
      </c>
      <c r="B53" s="140"/>
      <c r="C53" s="27"/>
      <c r="D53" s="144">
        <f>-'[3]2Q13 Trial Balance'!$F$267</f>
        <v>-3920.65</v>
      </c>
      <c r="E53" s="46"/>
    </row>
    <row r="54" spans="1:5" s="45" customFormat="1" ht="15" customHeight="1">
      <c r="A54" s="143" t="s">
        <v>99</v>
      </c>
      <c r="B54" s="140"/>
      <c r="C54" s="27"/>
      <c r="D54" s="144">
        <f>SUM(D52:D53)</f>
        <v>20479.879999999997</v>
      </c>
      <c r="E54" s="46"/>
    </row>
    <row r="55" spans="1:6" s="45" customFormat="1" ht="15" customHeight="1">
      <c r="A55" s="304" t="s">
        <v>207</v>
      </c>
      <c r="B55" s="140"/>
      <c r="C55" s="27"/>
      <c r="D55" s="139">
        <f>-'[3]2Q13 Trial Balance'!$F$271</f>
        <v>21084.129999999997</v>
      </c>
      <c r="E55" s="46"/>
      <c r="F55" s="53"/>
    </row>
    <row r="56" spans="1:6" s="45" customFormat="1" ht="15" customHeight="1">
      <c r="A56" s="138" t="s">
        <v>98</v>
      </c>
      <c r="B56" s="137"/>
      <c r="C56" s="136"/>
      <c r="D56" s="135">
        <f>D47+D54+D55</f>
        <v>-3044491.159999999</v>
      </c>
      <c r="E56" s="134"/>
      <c r="F56" s="133"/>
    </row>
    <row r="57" spans="1:5" s="45" customFormat="1" ht="15" customHeight="1">
      <c r="A57" s="128"/>
      <c r="B57" s="129"/>
      <c r="C57" s="129"/>
      <c r="D57" s="132"/>
      <c r="E57" s="46"/>
    </row>
    <row r="58" spans="1:5" s="45" customFormat="1" ht="15" customHeight="1">
      <c r="A58" s="128"/>
      <c r="B58" s="129"/>
      <c r="C58" s="129"/>
      <c r="D58" s="132"/>
      <c r="E58" s="46"/>
    </row>
    <row r="59" spans="1:5" s="45" customFormat="1" ht="15" customHeight="1">
      <c r="A59" s="128"/>
      <c r="B59" s="129"/>
      <c r="C59" s="129"/>
      <c r="D59" s="129"/>
      <c r="E59" s="46"/>
    </row>
    <row r="60" spans="1:5" s="45" customFormat="1" ht="15" customHeight="1">
      <c r="A60" s="128"/>
      <c r="B60" s="129"/>
      <c r="C60" s="129"/>
      <c r="D60" s="129"/>
      <c r="E60" s="46"/>
    </row>
    <row r="61" spans="1:5" s="45" customFormat="1" ht="15" customHeight="1">
      <c r="A61" s="128"/>
      <c r="B61" s="129"/>
      <c r="C61" s="129"/>
      <c r="D61" s="129"/>
      <c r="E61" s="46"/>
    </row>
    <row r="62" spans="1:5" s="45" customFormat="1" ht="15" customHeight="1">
      <c r="A62" s="128"/>
      <c r="B62" s="129"/>
      <c r="C62" s="129"/>
      <c r="D62" s="129"/>
      <c r="E62" s="46"/>
    </row>
    <row r="63" spans="1:5" s="45" customFormat="1" ht="15" customHeight="1">
      <c r="A63" s="128"/>
      <c r="B63" s="129"/>
      <c r="C63" s="129"/>
      <c r="D63" s="129"/>
      <c r="E63" s="46"/>
    </row>
    <row r="64" spans="1:5" s="45" customFormat="1" ht="15" customHeight="1">
      <c r="A64" s="128"/>
      <c r="B64" s="131"/>
      <c r="C64" s="129"/>
      <c r="D64" s="129"/>
      <c r="E64" s="46"/>
    </row>
    <row r="65" spans="1:5" s="45" customFormat="1" ht="15" customHeight="1">
      <c r="A65" s="128"/>
      <c r="B65" s="131"/>
      <c r="C65" s="129"/>
      <c r="D65" s="129"/>
      <c r="E65" s="46"/>
    </row>
    <row r="66" spans="1:5" s="45" customFormat="1" ht="15" customHeight="1">
      <c r="A66" s="128"/>
      <c r="B66" s="131"/>
      <c r="C66" s="129"/>
      <c r="D66" s="129"/>
      <c r="E66" s="46"/>
    </row>
    <row r="67" spans="1:5" s="45" customFormat="1" ht="15" customHeight="1">
      <c r="A67" s="128"/>
      <c r="B67" s="131"/>
      <c r="C67" s="130"/>
      <c r="D67" s="129"/>
      <c r="E67" s="46"/>
    </row>
    <row r="68" spans="1:5" s="45" customFormat="1" ht="15" customHeight="1">
      <c r="A68" s="128"/>
      <c r="B68" s="131"/>
      <c r="C68" s="129"/>
      <c r="D68" s="129"/>
      <c r="E68" s="46"/>
    </row>
    <row r="69" spans="2:5" s="45" customFormat="1" ht="15" customHeight="1">
      <c r="B69" s="131"/>
      <c r="C69" s="129"/>
      <c r="D69" s="129"/>
      <c r="E69" s="46"/>
    </row>
    <row r="70" spans="1:5" s="45" customFormat="1" ht="15" customHeight="1">
      <c r="A70" s="128"/>
      <c r="B70" s="131"/>
      <c r="C70" s="129"/>
      <c r="D70" s="129"/>
      <c r="E70" s="46"/>
    </row>
    <row r="71" spans="1:5" s="45" customFormat="1" ht="15" customHeight="1">
      <c r="A71" s="128"/>
      <c r="B71" s="131"/>
      <c r="C71" s="129"/>
      <c r="D71" s="129"/>
      <c r="E71" s="46"/>
    </row>
    <row r="72" spans="1:5" s="45" customFormat="1" ht="15" customHeight="1">
      <c r="A72" s="128"/>
      <c r="B72" s="126"/>
      <c r="C72" s="129"/>
      <c r="D72" s="129"/>
      <c r="E72" s="46"/>
    </row>
    <row r="73" spans="1:5" s="45" customFormat="1" ht="15" customHeight="1">
      <c r="A73" s="128"/>
      <c r="B73" s="129"/>
      <c r="C73" s="130"/>
      <c r="D73" s="129"/>
      <c r="E73" s="46"/>
    </row>
    <row r="74" spans="1:5" s="45" customFormat="1" ht="15" customHeight="1">
      <c r="A74" s="128"/>
      <c r="B74" s="129"/>
      <c r="C74" s="129"/>
      <c r="D74" s="129"/>
      <c r="E74" s="46"/>
    </row>
    <row r="75" spans="1:5" s="45" customFormat="1" ht="15" customHeight="1">
      <c r="A75" s="128"/>
      <c r="B75" s="129"/>
      <c r="C75" s="129"/>
      <c r="D75" s="129"/>
      <c r="E75" s="46"/>
    </row>
    <row r="76" spans="1:5" s="45" customFormat="1" ht="15" customHeight="1">
      <c r="A76" s="128"/>
      <c r="B76" s="129"/>
      <c r="C76" s="129"/>
      <c r="D76" s="129"/>
      <c r="E76" s="46"/>
    </row>
    <row r="77" spans="1:5" s="45" customFormat="1" ht="15" customHeight="1">
      <c r="A77" s="128"/>
      <c r="B77" s="129"/>
      <c r="C77" s="129"/>
      <c r="D77" s="129"/>
      <c r="E77" s="46"/>
    </row>
    <row r="78" spans="1:5" s="45" customFormat="1" ht="15" customHeight="1">
      <c r="A78" s="128"/>
      <c r="B78" s="129"/>
      <c r="C78" s="129"/>
      <c r="D78" s="129"/>
      <c r="E78" s="46"/>
    </row>
    <row r="79" spans="1:5" s="45" customFormat="1" ht="15" customHeight="1">
      <c r="A79" s="128"/>
      <c r="B79" s="129"/>
      <c r="C79" s="129"/>
      <c r="D79" s="129"/>
      <c r="E79" s="46"/>
    </row>
    <row r="80" spans="1:5" s="45" customFormat="1" ht="15" customHeight="1">
      <c r="A80" s="128"/>
      <c r="B80" s="129"/>
      <c r="C80" s="129"/>
      <c r="D80" s="129"/>
      <c r="E80" s="46"/>
    </row>
    <row r="81" spans="1:5" s="45" customFormat="1" ht="15" customHeight="1">
      <c r="A81" s="128"/>
      <c r="B81" s="129"/>
      <c r="C81" s="129"/>
      <c r="D81" s="129"/>
      <c r="E81" s="46"/>
    </row>
    <row r="82" spans="1:5" s="45" customFormat="1" ht="15" customHeight="1">
      <c r="A82" s="128"/>
      <c r="B82" s="129"/>
      <c r="C82" s="129"/>
      <c r="D82" s="129"/>
      <c r="E82" s="46"/>
    </row>
    <row r="83" spans="1:5" s="45" customFormat="1" ht="15" customHeight="1">
      <c r="A83" s="128"/>
      <c r="B83" s="129"/>
      <c r="C83" s="129"/>
      <c r="D83" s="129"/>
      <c r="E83" s="46"/>
    </row>
    <row r="84" spans="1:5" s="45" customFormat="1" ht="15" customHeight="1">
      <c r="A84" s="128"/>
      <c r="B84" s="129"/>
      <c r="C84" s="129"/>
      <c r="D84" s="129"/>
      <c r="E84" s="46"/>
    </row>
    <row r="85" spans="1:5" s="45" customFormat="1" ht="15" customHeight="1">
      <c r="A85" s="128"/>
      <c r="B85" s="129"/>
      <c r="C85" s="129"/>
      <c r="D85" s="129"/>
      <c r="E85" s="46"/>
    </row>
    <row r="86" spans="1:5" s="45" customFormat="1" ht="15" customHeight="1">
      <c r="A86" s="128"/>
      <c r="B86" s="129"/>
      <c r="C86" s="129"/>
      <c r="D86" s="129"/>
      <c r="E86" s="46"/>
    </row>
    <row r="87" spans="1:5" s="45" customFormat="1" ht="15" customHeight="1">
      <c r="A87" s="128"/>
      <c r="B87" s="129"/>
      <c r="C87" s="129"/>
      <c r="D87" s="129"/>
      <c r="E87" s="46"/>
    </row>
    <row r="88" spans="1:5" s="45" customFormat="1" ht="15" customHeight="1">
      <c r="A88" s="128"/>
      <c r="B88" s="129"/>
      <c r="C88" s="129"/>
      <c r="D88" s="129"/>
      <c r="E88" s="46"/>
    </row>
    <row r="89" spans="1:5" s="45" customFormat="1" ht="15" customHeight="1">
      <c r="A89" s="128"/>
      <c r="B89" s="129"/>
      <c r="C89" s="126"/>
      <c r="D89" s="126"/>
      <c r="E89" s="46"/>
    </row>
    <row r="90" spans="1:5" s="45" customFormat="1" ht="15" customHeight="1">
      <c r="A90" s="128"/>
      <c r="B90" s="129"/>
      <c r="C90" s="126"/>
      <c r="D90" s="126"/>
      <c r="E90" s="46"/>
    </row>
    <row r="91" spans="1:5" s="45" customFormat="1" ht="15" customHeight="1">
      <c r="A91" s="128"/>
      <c r="B91" s="129"/>
      <c r="C91" s="126"/>
      <c r="D91" s="126"/>
      <c r="E91" s="46"/>
    </row>
    <row r="92" spans="1:5" s="45" customFormat="1" ht="15" customHeight="1">
      <c r="A92" s="128"/>
      <c r="B92" s="126"/>
      <c r="C92" s="126"/>
      <c r="D92" s="126"/>
      <c r="E92" s="46"/>
    </row>
    <row r="93" spans="1:5" s="45" customFormat="1" ht="15" customHeight="1">
      <c r="A93" s="128"/>
      <c r="B93" s="126"/>
      <c r="C93" s="126"/>
      <c r="D93" s="126"/>
      <c r="E93" s="46"/>
    </row>
    <row r="94" spans="1:5" s="45" customFormat="1" ht="15" customHeight="1">
      <c r="A94" s="128"/>
      <c r="B94" s="126"/>
      <c r="C94" s="126"/>
      <c r="D94" s="126"/>
      <c r="E94" s="46"/>
    </row>
    <row r="95" spans="1:5" s="45" customFormat="1" ht="15" customHeight="1">
      <c r="A95" s="128"/>
      <c r="B95" s="126"/>
      <c r="C95" s="126"/>
      <c r="D95" s="126"/>
      <c r="E95" s="46"/>
    </row>
    <row r="96" spans="1:5" s="45" customFormat="1" ht="15" customHeight="1">
      <c r="A96" s="128"/>
      <c r="B96" s="126"/>
      <c r="C96" s="126"/>
      <c r="D96" s="126"/>
      <c r="E96" s="46"/>
    </row>
    <row r="97" spans="1:5" s="45" customFormat="1" ht="15" customHeight="1">
      <c r="A97" s="128"/>
      <c r="B97" s="126"/>
      <c r="C97" s="126"/>
      <c r="D97" s="126"/>
      <c r="E97" s="46"/>
    </row>
    <row r="98" spans="1:5" s="45" customFormat="1" ht="15" customHeight="1">
      <c r="A98" s="128"/>
      <c r="B98" s="126"/>
      <c r="C98" s="126"/>
      <c r="D98" s="126"/>
      <c r="E98" s="46"/>
    </row>
    <row r="99" spans="1:5" s="45" customFormat="1" ht="15" customHeight="1">
      <c r="A99" s="128"/>
      <c r="B99" s="126"/>
      <c r="C99" s="126"/>
      <c r="D99" s="126"/>
      <c r="E99" s="46"/>
    </row>
    <row r="100" spans="1:5" s="45" customFormat="1" ht="15" customHeight="1">
      <c r="A100" s="128"/>
      <c r="B100" s="126"/>
      <c r="C100" s="126"/>
      <c r="D100" s="126"/>
      <c r="E100" s="46"/>
    </row>
    <row r="101" spans="1:5" s="45" customFormat="1" ht="15" customHeight="1">
      <c r="A101" s="128"/>
      <c r="B101" s="126"/>
      <c r="C101" s="126"/>
      <c r="D101" s="126"/>
      <c r="E101" s="46"/>
    </row>
    <row r="102" spans="1:5" s="45" customFormat="1" ht="15" customHeight="1">
      <c r="A102" s="128"/>
      <c r="B102" s="126"/>
      <c r="C102" s="126"/>
      <c r="D102" s="126"/>
      <c r="E102" s="46"/>
    </row>
    <row r="103" spans="1:5" s="45" customFormat="1" ht="15" customHeight="1">
      <c r="A103" s="128"/>
      <c r="B103" s="126"/>
      <c r="C103" s="126"/>
      <c r="D103" s="126"/>
      <c r="E103" s="46"/>
    </row>
    <row r="104" spans="1:5" s="45" customFormat="1" ht="15" customHeight="1">
      <c r="A104" s="128"/>
      <c r="B104" s="126"/>
      <c r="C104" s="126"/>
      <c r="D104" s="126"/>
      <c r="E104" s="46"/>
    </row>
    <row r="105" spans="1:5" s="45" customFormat="1" ht="15" customHeight="1">
      <c r="A105" s="128"/>
      <c r="B105" s="126"/>
      <c r="C105" s="126"/>
      <c r="D105" s="126"/>
      <c r="E105" s="46"/>
    </row>
    <row r="106" spans="1:5" s="45" customFormat="1" ht="15" customHeight="1">
      <c r="A106" s="128"/>
      <c r="B106" s="126"/>
      <c r="C106" s="126"/>
      <c r="D106" s="126"/>
      <c r="E106" s="46"/>
    </row>
    <row r="107" spans="1:5" s="45" customFormat="1" ht="15" customHeight="1">
      <c r="A107" s="128"/>
      <c r="B107" s="126"/>
      <c r="C107" s="126"/>
      <c r="D107" s="126"/>
      <c r="E107" s="46"/>
    </row>
    <row r="108" spans="1:5" s="45" customFormat="1" ht="15" customHeight="1">
      <c r="A108" s="128"/>
      <c r="B108" s="126"/>
      <c r="C108" s="126"/>
      <c r="D108" s="126"/>
      <c r="E108" s="46"/>
    </row>
    <row r="109" spans="1:5" s="45" customFormat="1" ht="15" customHeight="1">
      <c r="A109" s="128"/>
      <c r="B109" s="126"/>
      <c r="C109" s="126"/>
      <c r="D109" s="126"/>
      <c r="E109" s="46"/>
    </row>
    <row r="110" spans="1:5" s="45" customFormat="1" ht="15" customHeight="1">
      <c r="A110" s="128"/>
      <c r="B110" s="126"/>
      <c r="C110" s="126"/>
      <c r="D110" s="126"/>
      <c r="E110" s="46"/>
    </row>
    <row r="111" spans="1:5" s="45" customFormat="1" ht="15" customHeight="1">
      <c r="A111" s="128"/>
      <c r="B111" s="126"/>
      <c r="C111" s="126"/>
      <c r="D111" s="126"/>
      <c r="E111" s="46"/>
    </row>
    <row r="112" spans="1:5" s="45" customFormat="1" ht="15" customHeight="1">
      <c r="A112" s="128"/>
      <c r="B112" s="126"/>
      <c r="C112" s="126"/>
      <c r="D112" s="126"/>
      <c r="E112" s="46"/>
    </row>
    <row r="113" spans="1:5" s="45" customFormat="1" ht="15" customHeight="1">
      <c r="A113" s="128"/>
      <c r="B113" s="126"/>
      <c r="C113" s="126"/>
      <c r="D113" s="126"/>
      <c r="E113" s="46"/>
    </row>
    <row r="114" spans="1:5" s="45" customFormat="1" ht="15" customHeight="1">
      <c r="A114" s="128"/>
      <c r="B114" s="126"/>
      <c r="C114" s="126"/>
      <c r="D114" s="126"/>
      <c r="E114" s="46"/>
    </row>
    <row r="115" spans="1:5" s="45" customFormat="1" ht="15" customHeight="1">
      <c r="A115" s="128"/>
      <c r="B115" s="126"/>
      <c r="C115" s="126"/>
      <c r="D115" s="126"/>
      <c r="E115" s="46"/>
    </row>
    <row r="116" spans="1:5" s="45" customFormat="1" ht="15" customHeight="1">
      <c r="A116" s="128"/>
      <c r="B116" s="126"/>
      <c r="C116" s="126"/>
      <c r="D116" s="126"/>
      <c r="E116" s="46"/>
    </row>
    <row r="117" spans="1:5" s="45" customFormat="1" ht="15" customHeight="1">
      <c r="A117" s="128"/>
      <c r="B117" s="126"/>
      <c r="C117" s="126"/>
      <c r="D117" s="126"/>
      <c r="E117" s="46"/>
    </row>
    <row r="118" spans="1:5" s="45" customFormat="1" ht="15" customHeight="1">
      <c r="A118" s="128"/>
      <c r="B118" s="126"/>
      <c r="C118" s="126"/>
      <c r="D118" s="126"/>
      <c r="E118" s="46"/>
    </row>
    <row r="119" spans="1:5" s="45" customFormat="1" ht="15" customHeight="1">
      <c r="A119" s="128"/>
      <c r="B119" s="126"/>
      <c r="C119" s="126"/>
      <c r="D119" s="126"/>
      <c r="E119" s="46"/>
    </row>
    <row r="120" spans="1:5" s="45" customFormat="1" ht="15" customHeight="1">
      <c r="A120" s="128"/>
      <c r="B120" s="126"/>
      <c r="C120" s="126"/>
      <c r="D120" s="126"/>
      <c r="E120" s="46"/>
    </row>
    <row r="121" spans="1:5" s="45" customFormat="1" ht="15" customHeight="1">
      <c r="A121" s="127"/>
      <c r="B121" s="126"/>
      <c r="C121" s="126"/>
      <c r="D121" s="126"/>
      <c r="E121" s="46"/>
    </row>
    <row r="122" spans="1:5" s="45" customFormat="1" ht="15" customHeight="1">
      <c r="A122" s="127"/>
      <c r="B122" s="126"/>
      <c r="C122" s="126"/>
      <c r="D122" s="126"/>
      <c r="E122" s="46"/>
    </row>
    <row r="123" spans="1:5" s="45" customFormat="1" ht="15" customHeight="1">
      <c r="A123" s="127"/>
      <c r="B123" s="126"/>
      <c r="C123" s="126"/>
      <c r="D123" s="126"/>
      <c r="E123" s="46"/>
    </row>
    <row r="124" spans="1:5" s="45" customFormat="1" ht="15" customHeight="1">
      <c r="A124" s="127"/>
      <c r="B124" s="126"/>
      <c r="C124" s="126"/>
      <c r="D124" s="126"/>
      <c r="E124" s="46"/>
    </row>
    <row r="125" spans="1:5" s="45" customFormat="1" ht="15" customHeight="1">
      <c r="A125" s="127"/>
      <c r="B125" s="126"/>
      <c r="C125" s="126"/>
      <c r="D125" s="126"/>
      <c r="E125" s="46"/>
    </row>
    <row r="126" spans="1:5" s="45" customFormat="1" ht="15" customHeight="1">
      <c r="A126" s="127"/>
      <c r="B126" s="126"/>
      <c r="C126" s="126"/>
      <c r="D126" s="126"/>
      <c r="E126" s="46"/>
    </row>
    <row r="127" spans="1:5" s="45" customFormat="1" ht="15" customHeight="1">
      <c r="A127" s="127"/>
      <c r="B127" s="126"/>
      <c r="C127" s="126"/>
      <c r="D127" s="126"/>
      <c r="E127" s="46"/>
    </row>
    <row r="128" ht="15" customHeight="1">
      <c r="A128" s="125"/>
    </row>
    <row r="129" s="70" customFormat="1" ht="15" customHeight="1">
      <c r="A129" s="125"/>
    </row>
    <row r="130" s="70" customFormat="1" ht="15" customHeight="1">
      <c r="A130" s="125"/>
    </row>
    <row r="131" s="70" customFormat="1" ht="15" customHeight="1">
      <c r="A131" s="125"/>
    </row>
    <row r="132" s="70" customFormat="1" ht="15" customHeight="1">
      <c r="A132" s="125"/>
    </row>
    <row r="133" s="70" customFormat="1" ht="15" customHeight="1">
      <c r="A133" s="125"/>
    </row>
    <row r="134" s="70" customFormat="1" ht="15" customHeight="1">
      <c r="A134" s="125"/>
    </row>
    <row r="135" s="70" customFormat="1" ht="15" customHeight="1">
      <c r="A135" s="125"/>
    </row>
    <row r="136" s="70" customFormat="1" ht="15" customHeight="1">
      <c r="A136" s="125"/>
    </row>
    <row r="137" s="70" customFormat="1" ht="15" customHeight="1">
      <c r="A137" s="125"/>
    </row>
    <row r="138" s="70" customFormat="1" ht="15" customHeight="1">
      <c r="A138" s="125"/>
    </row>
    <row r="139" s="70" customFormat="1" ht="15" customHeight="1">
      <c r="A139" s="125"/>
    </row>
    <row r="140" s="70" customFormat="1" ht="15" customHeight="1">
      <c r="A140" s="125"/>
    </row>
    <row r="141" s="70" customFormat="1" ht="15" customHeight="1">
      <c r="A141" s="125"/>
    </row>
    <row r="142" s="70" customFormat="1" ht="15" customHeight="1">
      <c r="A142" s="125"/>
    </row>
    <row r="143" s="70" customFormat="1" ht="15" customHeight="1">
      <c r="A143" s="125"/>
    </row>
    <row r="144" s="70" customFormat="1" ht="15" customHeight="1">
      <c r="A144" s="125"/>
    </row>
    <row r="145" s="70" customFormat="1" ht="15" customHeight="1">
      <c r="A145" s="125"/>
    </row>
    <row r="146" s="70" customFormat="1" ht="15" customHeight="1">
      <c r="A146" s="125"/>
    </row>
    <row r="147" s="70" customFormat="1" ht="15" customHeight="1">
      <c r="A147" s="125"/>
    </row>
    <row r="148" s="70" customFormat="1" ht="15" customHeight="1">
      <c r="A148" s="125"/>
    </row>
    <row r="149" s="70" customFormat="1" ht="15" customHeight="1">
      <c r="A149" s="125"/>
    </row>
    <row r="150" s="70" customFormat="1" ht="15" customHeight="1">
      <c r="A150" s="125"/>
    </row>
    <row r="151" s="70" customFormat="1" ht="15" customHeight="1">
      <c r="A151" s="125"/>
    </row>
    <row r="152" s="70" customFormat="1" ht="15" customHeight="1">
      <c r="A152" s="125"/>
    </row>
    <row r="153" s="70" customFormat="1" ht="15" customHeight="1">
      <c r="A153" s="125"/>
    </row>
    <row r="154" s="70" customFormat="1" ht="15" customHeight="1">
      <c r="A154" s="125"/>
    </row>
    <row r="155" s="70" customFormat="1" ht="15" customHeight="1">
      <c r="A155" s="125"/>
    </row>
    <row r="156" s="70" customFormat="1" ht="15" customHeight="1">
      <c r="A156" s="125"/>
    </row>
    <row r="157" s="70" customFormat="1" ht="15" customHeight="1">
      <c r="A157" s="125"/>
    </row>
    <row r="158" s="70" customFormat="1" ht="15" customHeight="1">
      <c r="A158" s="125"/>
    </row>
    <row r="159" s="70" customFormat="1" ht="15" customHeight="1">
      <c r="A159" s="125"/>
    </row>
    <row r="160" s="70" customFormat="1" ht="15" customHeight="1">
      <c r="A160" s="125"/>
    </row>
    <row r="161" s="70" customFormat="1" ht="15" customHeight="1">
      <c r="A161" s="125"/>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sheetPr codeName="Sheet7"/>
  <dimension ref="A1:F33"/>
  <sheetViews>
    <sheetView zoomScalePageLayoutView="0" workbookViewId="0" topLeftCell="A1">
      <selection activeCell="A1" sqref="A1"/>
    </sheetView>
  </sheetViews>
  <sheetFormatPr defaultColWidth="15.7109375" defaultRowHeight="15" customHeight="1"/>
  <cols>
    <col min="1" max="1" width="50.7109375" style="170" customWidth="1"/>
    <col min="2" max="6" width="18.7109375" style="171" customWidth="1"/>
    <col min="7" max="16384" width="15.7109375" style="170" customWidth="1"/>
  </cols>
  <sheetData>
    <row r="1" spans="1:6" s="205" customFormat="1" ht="30" customHeight="1">
      <c r="A1" s="208" t="s">
        <v>0</v>
      </c>
      <c r="B1" s="207"/>
      <c r="C1" s="207"/>
      <c r="D1" s="207"/>
      <c r="E1" s="207"/>
      <c r="F1" s="206"/>
    </row>
    <row r="2" spans="1:6" s="201" customFormat="1" ht="15" customHeight="1">
      <c r="A2" s="204"/>
      <c r="B2" s="203"/>
      <c r="C2" s="203"/>
      <c r="D2" s="203"/>
      <c r="E2" s="203"/>
      <c r="F2" s="202"/>
    </row>
    <row r="3" spans="1:6" ht="15" customHeight="1">
      <c r="A3" s="200" t="s">
        <v>153</v>
      </c>
      <c r="B3" s="199"/>
      <c r="C3" s="199"/>
      <c r="D3" s="199"/>
      <c r="E3" s="199"/>
      <c r="F3" s="198"/>
    </row>
    <row r="4" spans="1:6" ht="15" customHeight="1">
      <c r="A4" s="200" t="s">
        <v>180</v>
      </c>
      <c r="B4" s="199"/>
      <c r="C4" s="199"/>
      <c r="D4" s="199"/>
      <c r="E4" s="199"/>
      <c r="F4" s="198"/>
    </row>
    <row r="5" spans="1:6" s="1" customFormat="1" ht="15" customHeight="1">
      <c r="A5" s="197"/>
      <c r="B5" s="196"/>
      <c r="C5" s="196"/>
      <c r="D5" s="196"/>
      <c r="E5" s="196"/>
      <c r="F5" s="196"/>
    </row>
    <row r="6" spans="2:6" s="1" customFormat="1" ht="30" customHeight="1">
      <c r="B6" s="195" t="s">
        <v>176</v>
      </c>
      <c r="C6" s="195" t="s">
        <v>1</v>
      </c>
      <c r="D6" s="195" t="s">
        <v>2</v>
      </c>
      <c r="E6" s="195" t="s">
        <v>3</v>
      </c>
      <c r="F6" s="194" t="s">
        <v>4</v>
      </c>
    </row>
    <row r="7" spans="1:6" s="191" customFormat="1" ht="15" customHeight="1">
      <c r="A7" s="193" t="s">
        <v>152</v>
      </c>
      <c r="B7" s="196"/>
      <c r="C7" s="196"/>
      <c r="D7" s="196"/>
      <c r="E7" s="196"/>
      <c r="F7" s="196"/>
    </row>
    <row r="8" spans="1:6" s="1" customFormat="1" ht="15" customHeight="1">
      <c r="A8" s="179" t="s">
        <v>151</v>
      </c>
      <c r="B8" s="192"/>
      <c r="C8" s="192"/>
      <c r="D8" s="192"/>
      <c r="E8" s="192"/>
      <c r="F8" s="192"/>
    </row>
    <row r="9" spans="1:6" s="191" customFormat="1" ht="15" customHeight="1">
      <c r="A9" s="178" t="s">
        <v>147</v>
      </c>
      <c r="B9" s="132">
        <f>-'[3]2Q13 Trial Balance'!C214</f>
        <v>2116422</v>
      </c>
      <c r="C9" s="132">
        <f>-'[3]2Q13 Trial Balance'!C210</f>
        <v>-26734</v>
      </c>
      <c r="D9" s="132">
        <f>-'[3]2Q13 Trial Balance'!C207</f>
        <v>-86</v>
      </c>
      <c r="E9" s="188">
        <v>0</v>
      </c>
      <c r="F9" s="132">
        <f>SUM(B9:E9)</f>
        <v>2089602</v>
      </c>
    </row>
    <row r="10" spans="1:6" s="1" customFormat="1" ht="15" customHeight="1">
      <c r="A10" s="178" t="s">
        <v>146</v>
      </c>
      <c r="B10" s="292">
        <f>-'[3]2Q13 Trial Balance'!C215</f>
        <v>728362</v>
      </c>
      <c r="C10" s="292">
        <f>-'[3]2Q13 Trial Balance'!C211</f>
        <v>-8547</v>
      </c>
      <c r="D10" s="292">
        <f>-'[3]2Q13 Trial Balance'!C208</f>
        <v>-19</v>
      </c>
      <c r="E10" s="188">
        <v>0</v>
      </c>
      <c r="F10" s="29">
        <f>SUM(B10:E10)</f>
        <v>719796</v>
      </c>
    </row>
    <row r="11" spans="1:6" s="1" customFormat="1" ht="15" customHeight="1">
      <c r="A11" s="178" t="s">
        <v>145</v>
      </c>
      <c r="B11" s="292">
        <f>-'[3]2Q13 Trial Balance'!C216</f>
        <v>11269</v>
      </c>
      <c r="C11" s="292">
        <f>-'[3]2Q13 Trial Balance'!C212</f>
        <v>-54</v>
      </c>
      <c r="D11" s="188">
        <v>0</v>
      </c>
      <c r="E11" s="188">
        <v>0</v>
      </c>
      <c r="F11" s="29">
        <f>SUM(B11:E11)</f>
        <v>11215</v>
      </c>
    </row>
    <row r="12" spans="1:6" s="28" customFormat="1" ht="15" customHeight="1" thickBot="1">
      <c r="A12" s="174" t="s">
        <v>144</v>
      </c>
      <c r="B12" s="293">
        <f>SUM(B9:B11)</f>
        <v>2856053</v>
      </c>
      <c r="C12" s="293">
        <f>SUM(C9:C11)</f>
        <v>-35335</v>
      </c>
      <c r="D12" s="293">
        <f>SUM(D9:D11)</f>
        <v>-105</v>
      </c>
      <c r="E12" s="187">
        <f>SUM(E9:E11)</f>
        <v>0</v>
      </c>
      <c r="F12" s="186">
        <f>SUM(F9:F11)</f>
        <v>2820613</v>
      </c>
    </row>
    <row r="13" spans="1:6" s="28" customFormat="1" ht="15" customHeight="1" thickTop="1">
      <c r="A13" s="178"/>
      <c r="B13" s="177"/>
      <c r="C13" s="177"/>
      <c r="D13" s="177"/>
      <c r="E13" s="177"/>
      <c r="F13" s="172"/>
    </row>
    <row r="14" spans="1:6" s="28" customFormat="1" ht="30" customHeight="1">
      <c r="A14" s="179" t="s">
        <v>188</v>
      </c>
      <c r="B14" s="177"/>
      <c r="C14" s="177"/>
      <c r="D14" s="177"/>
      <c r="E14" s="177"/>
      <c r="F14" s="177"/>
    </row>
    <row r="15" spans="1:6" s="28" customFormat="1" ht="15" customHeight="1">
      <c r="A15" s="178" t="s">
        <v>147</v>
      </c>
      <c r="B15" s="27">
        <f>-'[3]2Q13 Trial Balance'!E65</f>
        <v>3104902.73</v>
      </c>
      <c r="C15" s="27">
        <f>-'[3]2Q13 Trial Balance'!E61</f>
        <v>1015778.64</v>
      </c>
      <c r="D15" s="188">
        <v>0</v>
      </c>
      <c r="E15" s="188">
        <v>0</v>
      </c>
      <c r="F15" s="29">
        <f>SUM(B15:E15)+1</f>
        <v>4120682.37</v>
      </c>
    </row>
    <row r="16" spans="1:6" s="28" customFormat="1" ht="15" customHeight="1">
      <c r="A16" s="178" t="s">
        <v>150</v>
      </c>
      <c r="B16" s="27">
        <f>-'[3]2Q13 Trial Balance'!E66</f>
        <v>1029486.57</v>
      </c>
      <c r="C16" s="27">
        <f>-'[3]2Q13 Trial Balance'!E62</f>
        <v>335142.06</v>
      </c>
      <c r="D16" s="188">
        <v>0</v>
      </c>
      <c r="E16" s="188">
        <v>0</v>
      </c>
      <c r="F16" s="29">
        <f>SUM(B16:E16)</f>
        <v>1364628.63</v>
      </c>
    </row>
    <row r="17" spans="1:6" s="28" customFormat="1" ht="15" customHeight="1">
      <c r="A17" s="178" t="s">
        <v>149</v>
      </c>
      <c r="B17" s="27">
        <f>-'[3]2Q13 Trial Balance'!E67</f>
        <v>14856.12</v>
      </c>
      <c r="C17" s="27">
        <f>-'[3]2Q13 Trial Balance'!E63</f>
        <v>3552.48</v>
      </c>
      <c r="D17" s="188">
        <v>0</v>
      </c>
      <c r="E17" s="188">
        <v>0</v>
      </c>
      <c r="F17" s="29">
        <f>SUM(B17:E17)-1</f>
        <v>18407.600000000002</v>
      </c>
    </row>
    <row r="18" spans="1:6" s="28" customFormat="1" ht="15" customHeight="1" thickBot="1">
      <c r="A18" s="174" t="s">
        <v>144</v>
      </c>
      <c r="B18" s="184">
        <f>SUM(B15:B17)+1</f>
        <v>4149246.42</v>
      </c>
      <c r="C18" s="184">
        <f>SUM(C15:C17)</f>
        <v>1354473.18</v>
      </c>
      <c r="D18" s="187">
        <f>SUM(D15:D17)</f>
        <v>0</v>
      </c>
      <c r="E18" s="187">
        <f>SUM(E15:E17)</f>
        <v>0</v>
      </c>
      <c r="F18" s="186">
        <f>SUM(F15:F17)</f>
        <v>5503718.6</v>
      </c>
    </row>
    <row r="19" spans="1:6" s="28" customFormat="1" ht="15" customHeight="1" thickTop="1">
      <c r="A19" s="178"/>
      <c r="B19" s="177"/>
      <c r="C19" s="177"/>
      <c r="D19" s="177"/>
      <c r="E19" s="177"/>
      <c r="F19" s="172"/>
    </row>
    <row r="20" spans="1:6" s="28" customFormat="1" ht="30" customHeight="1">
      <c r="A20" s="179" t="s">
        <v>190</v>
      </c>
      <c r="B20" s="185"/>
      <c r="C20" s="185"/>
      <c r="D20" s="185"/>
      <c r="E20" s="185"/>
      <c r="F20" s="177"/>
    </row>
    <row r="21" spans="1:6" s="28" customFormat="1" ht="15" customHeight="1">
      <c r="A21" s="178" t="s">
        <v>147</v>
      </c>
      <c r="B21" s="29">
        <v>1760864.47</v>
      </c>
      <c r="C21" s="29">
        <v>2320621.1</v>
      </c>
      <c r="D21" s="188">
        <v>0</v>
      </c>
      <c r="E21" s="188">
        <v>0</v>
      </c>
      <c r="F21" s="29">
        <f>SUM(B21:E21)-1</f>
        <v>4081484.5700000003</v>
      </c>
    </row>
    <row r="22" spans="1:6" s="28" customFormat="1" ht="15" customHeight="1">
      <c r="A22" s="178" t="s">
        <v>146</v>
      </c>
      <c r="B22" s="190">
        <v>550685.1</v>
      </c>
      <c r="C22" s="189">
        <v>774332.23</v>
      </c>
      <c r="D22" s="188">
        <v>0</v>
      </c>
      <c r="E22" s="188">
        <v>0</v>
      </c>
      <c r="F22" s="29">
        <f>SUM(B22:E22)</f>
        <v>1325017.33</v>
      </c>
    </row>
    <row r="23" spans="1:6" s="28" customFormat="1" ht="15" customHeight="1">
      <c r="A23" s="178" t="s">
        <v>145</v>
      </c>
      <c r="B23" s="190">
        <v>6461.94</v>
      </c>
      <c r="C23" s="189">
        <v>8732.33</v>
      </c>
      <c r="D23" s="188">
        <v>0</v>
      </c>
      <c r="E23" s="188">
        <v>0</v>
      </c>
      <c r="F23" s="29">
        <f>SUM(B23:E23)</f>
        <v>15194.27</v>
      </c>
    </row>
    <row r="24" spans="1:6" s="28" customFormat="1" ht="15" customHeight="1" thickBot="1">
      <c r="A24" s="174" t="s">
        <v>144</v>
      </c>
      <c r="B24" s="184">
        <f>SUM(B21:B23)-1</f>
        <v>2318010.51</v>
      </c>
      <c r="C24" s="184">
        <f>SUM(C21:C23)-1</f>
        <v>3103684.66</v>
      </c>
      <c r="D24" s="187">
        <f>SUM(D21:D23)</f>
        <v>0</v>
      </c>
      <c r="E24" s="187">
        <f>SUM(E21:E23)</f>
        <v>0</v>
      </c>
      <c r="F24" s="186">
        <f>SUM(F21:F23)</f>
        <v>5421696.17</v>
      </c>
    </row>
    <row r="25" spans="1:6" s="180" customFormat="1" ht="15" customHeight="1" thickTop="1">
      <c r="A25" s="182"/>
      <c r="B25" s="177"/>
      <c r="C25" s="177"/>
      <c r="D25" s="177"/>
      <c r="E25" s="177"/>
      <c r="F25" s="181"/>
    </row>
    <row r="26" spans="1:6" s="28" customFormat="1" ht="15" customHeight="1">
      <c r="A26" s="179" t="s">
        <v>148</v>
      </c>
      <c r="B26" s="177"/>
      <c r="C26" s="177"/>
      <c r="D26" s="177"/>
      <c r="E26" s="177"/>
      <c r="F26" s="177"/>
    </row>
    <row r="27" spans="1:6" s="28" customFormat="1" ht="15" customHeight="1">
      <c r="A27" s="178" t="s">
        <v>147</v>
      </c>
      <c r="B27" s="294">
        <f>B9-(B15-B21)-1</f>
        <v>772382.74</v>
      </c>
      <c r="C27" s="29">
        <f aca="true" t="shared" si="0" ref="B27:E29">C9-(C15-C21)</f>
        <v>1278108.46</v>
      </c>
      <c r="D27" s="189">
        <f t="shared" si="0"/>
        <v>-86</v>
      </c>
      <c r="E27" s="188">
        <f t="shared" si="0"/>
        <v>0</v>
      </c>
      <c r="F27" s="294">
        <f>SUM(B27:E27)</f>
        <v>2050405.2</v>
      </c>
    </row>
    <row r="28" spans="1:6" s="28" customFormat="1" ht="15" customHeight="1">
      <c r="A28" s="178" t="s">
        <v>146</v>
      </c>
      <c r="B28" s="294">
        <f>B10-(B16-B22)-1</f>
        <v>249559.53000000003</v>
      </c>
      <c r="C28" s="29">
        <f t="shared" si="0"/>
        <v>430643.17</v>
      </c>
      <c r="D28" s="189">
        <f t="shared" si="0"/>
        <v>-19</v>
      </c>
      <c r="E28" s="188">
        <f t="shared" si="0"/>
        <v>0</v>
      </c>
      <c r="F28" s="294">
        <f>SUM(B28:E28)</f>
        <v>680183.7</v>
      </c>
    </row>
    <row r="29" spans="1:6" s="28" customFormat="1" ht="15" customHeight="1">
      <c r="A29" s="176" t="s">
        <v>145</v>
      </c>
      <c r="B29" s="294">
        <f t="shared" si="0"/>
        <v>2874.8199999999997</v>
      </c>
      <c r="C29" s="29">
        <f t="shared" si="0"/>
        <v>5125.85</v>
      </c>
      <c r="D29" s="188">
        <f t="shared" si="0"/>
        <v>0</v>
      </c>
      <c r="E29" s="188">
        <f t="shared" si="0"/>
        <v>0</v>
      </c>
      <c r="F29" s="294">
        <f>SUM(B29:E29)</f>
        <v>8000.67</v>
      </c>
    </row>
    <row r="30" spans="1:6" s="28" customFormat="1" ht="15" customHeight="1" thickBot="1">
      <c r="A30" s="174" t="s">
        <v>144</v>
      </c>
      <c r="B30" s="173">
        <f>SUM(B27:B29)+1</f>
        <v>1024818.09</v>
      </c>
      <c r="C30" s="173">
        <f>SUM(C27:C29)</f>
        <v>1713877.48</v>
      </c>
      <c r="D30" s="173">
        <f>SUM(D27:D29)</f>
        <v>-105</v>
      </c>
      <c r="E30" s="295">
        <f>SUM(E27:E29)</f>
        <v>0</v>
      </c>
      <c r="F30" s="173">
        <f>SUM(F27:F29)</f>
        <v>2738589.57</v>
      </c>
    </row>
    <row r="31" spans="2:6" s="1" customFormat="1" ht="15" customHeight="1" thickTop="1">
      <c r="B31" s="172"/>
      <c r="C31" s="172"/>
      <c r="D31" s="172"/>
      <c r="E31" s="172"/>
      <c r="F31" s="172"/>
    </row>
    <row r="32" spans="1:6" s="1" customFormat="1" ht="15" customHeight="1">
      <c r="A32" s="334" t="s">
        <v>143</v>
      </c>
      <c r="B32" s="335"/>
      <c r="C32" s="335"/>
      <c r="D32" s="335"/>
      <c r="E32" s="334"/>
      <c r="F32" s="334"/>
    </row>
    <row r="33" spans="1:6" s="1" customFormat="1" ht="15" customHeight="1">
      <c r="A33" s="334"/>
      <c r="B33" s="335"/>
      <c r="C33" s="335"/>
      <c r="D33" s="335"/>
      <c r="E33" s="334"/>
      <c r="F33" s="334"/>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sheetPr codeName="Sheet8"/>
  <dimension ref="A1:G58"/>
  <sheetViews>
    <sheetView zoomScalePageLayoutView="0" workbookViewId="0" topLeftCell="A1">
      <selection activeCell="A1" sqref="A1"/>
    </sheetView>
  </sheetViews>
  <sheetFormatPr defaultColWidth="15.7109375" defaultRowHeight="15" customHeight="1"/>
  <cols>
    <col min="1" max="1" width="50.7109375" style="170" customWidth="1"/>
    <col min="2" max="6" width="18.7109375" style="171" customWidth="1"/>
    <col min="7" max="16384" width="15.7109375" style="170" customWidth="1"/>
  </cols>
  <sheetData>
    <row r="1" spans="1:6" s="205" customFormat="1" ht="30" customHeight="1">
      <c r="A1" s="208" t="s">
        <v>0</v>
      </c>
      <c r="B1" s="207"/>
      <c r="C1" s="207"/>
      <c r="D1" s="207"/>
      <c r="E1" s="207"/>
      <c r="F1" s="206"/>
    </row>
    <row r="2" spans="1:6" s="201" customFormat="1" ht="15" customHeight="1">
      <c r="A2" s="204"/>
      <c r="B2" s="203"/>
      <c r="C2" s="203"/>
      <c r="D2" s="203"/>
      <c r="E2" s="203"/>
      <c r="F2" s="202"/>
    </row>
    <row r="3" spans="1:6" ht="15" customHeight="1">
      <c r="A3" s="200" t="s">
        <v>153</v>
      </c>
      <c r="B3" s="199"/>
      <c r="C3" s="199"/>
      <c r="D3" s="199"/>
      <c r="E3" s="199"/>
      <c r="F3" s="198"/>
    </row>
    <row r="4" spans="1:6" ht="15" customHeight="1">
      <c r="A4" s="200" t="s">
        <v>177</v>
      </c>
      <c r="B4" s="199"/>
      <c r="C4" s="199"/>
      <c r="D4" s="199"/>
      <c r="E4" s="199"/>
      <c r="F4" s="198"/>
    </row>
    <row r="5" spans="1:6" s="1" customFormat="1" ht="15" customHeight="1">
      <c r="A5" s="197"/>
      <c r="B5" s="196"/>
      <c r="C5" s="196"/>
      <c r="D5" s="196"/>
      <c r="E5" s="196"/>
      <c r="F5" s="196"/>
    </row>
    <row r="6" spans="2:6" s="1" customFormat="1" ht="30" customHeight="1">
      <c r="B6" s="195" t="s">
        <v>176</v>
      </c>
      <c r="C6" s="195" t="s">
        <v>1</v>
      </c>
      <c r="D6" s="195" t="s">
        <v>2</v>
      </c>
      <c r="E6" s="195" t="s">
        <v>3</v>
      </c>
      <c r="F6" s="194" t="s">
        <v>4</v>
      </c>
    </row>
    <row r="7" spans="1:6" s="1" customFormat="1" ht="15" customHeight="1">
      <c r="A7" s="193" t="s">
        <v>152</v>
      </c>
      <c r="B7" s="196"/>
      <c r="C7" s="196"/>
      <c r="D7" s="196"/>
      <c r="E7" s="196"/>
      <c r="F7" s="196"/>
    </row>
    <row r="8" spans="1:6" s="1" customFormat="1" ht="15" customHeight="1">
      <c r="A8" s="179" t="s">
        <v>151</v>
      </c>
      <c r="B8" s="192"/>
      <c r="C8" s="192"/>
      <c r="D8" s="192"/>
      <c r="E8" s="192"/>
      <c r="F8" s="192"/>
    </row>
    <row r="9" spans="1:6" s="191" customFormat="1" ht="15" customHeight="1">
      <c r="A9" s="178" t="s">
        <v>147</v>
      </c>
      <c r="B9" s="132">
        <f>-'[3]2Q13 Trial Balance'!E214</f>
        <v>4123157</v>
      </c>
      <c r="C9" s="132">
        <f>-'[3]2Q13 Trial Balance'!E210</f>
        <v>-69196</v>
      </c>
      <c r="D9" s="132">
        <f>-'[3]2Q13 Trial Balance'!E207</f>
        <v>-86</v>
      </c>
      <c r="E9" s="188">
        <v>0</v>
      </c>
      <c r="F9" s="132">
        <f>SUM(B9:E9)</f>
        <v>4053875</v>
      </c>
    </row>
    <row r="10" spans="1:6" s="1" customFormat="1" ht="15" customHeight="1">
      <c r="A10" s="178" t="s">
        <v>146</v>
      </c>
      <c r="B10" s="27">
        <f>-'[3]2Q13 Trial Balance'!E215</f>
        <v>1355954</v>
      </c>
      <c r="C10" s="292">
        <f>-'[3]2Q13 Trial Balance'!E211</f>
        <v>-23612</v>
      </c>
      <c r="D10" s="292">
        <f>-'[3]2Q13 Trial Balance'!E208</f>
        <v>-19</v>
      </c>
      <c r="E10" s="188">
        <v>0</v>
      </c>
      <c r="F10" s="29">
        <f>SUM(B10:E10)</f>
        <v>1332323</v>
      </c>
    </row>
    <row r="11" spans="1:6" s="1" customFormat="1" ht="15" customHeight="1">
      <c r="A11" s="178" t="s">
        <v>145</v>
      </c>
      <c r="B11" s="27">
        <f>-'[3]2Q13 Trial Balance'!E216</f>
        <v>18477</v>
      </c>
      <c r="C11" s="292">
        <f>-'[3]2Q13 Trial Balance'!E212</f>
        <v>-322</v>
      </c>
      <c r="D11" s="188">
        <v>0</v>
      </c>
      <c r="E11" s="188">
        <v>0</v>
      </c>
      <c r="F11" s="29">
        <f>SUM(B11:E11)</f>
        <v>18155</v>
      </c>
    </row>
    <row r="12" spans="1:6" s="28" customFormat="1" ht="15" customHeight="1" thickBot="1">
      <c r="A12" s="174" t="s">
        <v>144</v>
      </c>
      <c r="B12" s="184">
        <f>SUM(B9:B11)</f>
        <v>5497588</v>
      </c>
      <c r="C12" s="293">
        <f>SUM(C9:C11)</f>
        <v>-93130</v>
      </c>
      <c r="D12" s="293">
        <f>SUM(D9:D11)</f>
        <v>-105</v>
      </c>
      <c r="E12" s="187">
        <f>SUM(E9:E11)</f>
        <v>0</v>
      </c>
      <c r="F12" s="186">
        <f>SUM(F9:F11)</f>
        <v>5404353</v>
      </c>
    </row>
    <row r="13" spans="1:6" s="28" customFormat="1" ht="15" customHeight="1" thickTop="1">
      <c r="A13" s="178"/>
      <c r="B13" s="177"/>
      <c r="C13" s="177"/>
      <c r="D13" s="177"/>
      <c r="E13" s="177"/>
      <c r="F13" s="172"/>
    </row>
    <row r="14" spans="1:6" s="28" customFormat="1" ht="30" customHeight="1">
      <c r="A14" s="179" t="s">
        <v>188</v>
      </c>
      <c r="B14" s="177"/>
      <c r="C14" s="177"/>
      <c r="D14" s="177"/>
      <c r="E14" s="177"/>
      <c r="F14" s="177"/>
    </row>
    <row r="15" spans="1:6" s="28" customFormat="1" ht="15" customHeight="1">
      <c r="A15" s="178" t="s">
        <v>147</v>
      </c>
      <c r="B15" s="189">
        <f>-'[3]2Q13 Trial Balance'!E65</f>
        <v>3104902.73</v>
      </c>
      <c r="C15" s="189">
        <f>-'[3]2Q13 Trial Balance'!E61</f>
        <v>1015778.64</v>
      </c>
      <c r="D15" s="188">
        <v>0</v>
      </c>
      <c r="E15" s="188">
        <v>0</v>
      </c>
      <c r="F15" s="29">
        <f>SUM(B15:E15)+1</f>
        <v>4120682.37</v>
      </c>
    </row>
    <row r="16" spans="1:6" s="28" customFormat="1" ht="15" customHeight="1">
      <c r="A16" s="178" t="s">
        <v>150</v>
      </c>
      <c r="B16" s="189">
        <f>-'[3]2Q13 Trial Balance'!E66</f>
        <v>1029486.57</v>
      </c>
      <c r="C16" s="189">
        <f>-'[3]2Q13 Trial Balance'!E62</f>
        <v>335142.06</v>
      </c>
      <c r="D16" s="188">
        <v>0</v>
      </c>
      <c r="E16" s="188">
        <v>0</v>
      </c>
      <c r="F16" s="29">
        <f>SUM(B16:E16)</f>
        <v>1364628.63</v>
      </c>
    </row>
    <row r="17" spans="1:6" s="28" customFormat="1" ht="15" customHeight="1">
      <c r="A17" s="178" t="s">
        <v>149</v>
      </c>
      <c r="B17" s="189">
        <f>-'[3]2Q13 Trial Balance'!E67</f>
        <v>14856.12</v>
      </c>
      <c r="C17" s="189">
        <f>-'[3]2Q13 Trial Balance'!E63</f>
        <v>3552.48</v>
      </c>
      <c r="D17" s="188">
        <v>0</v>
      </c>
      <c r="E17" s="188">
        <v>0</v>
      </c>
      <c r="F17" s="29">
        <f>SUM(B17:E17)-1</f>
        <v>18407.600000000002</v>
      </c>
    </row>
    <row r="18" spans="1:6" s="28" customFormat="1" ht="15" customHeight="1" thickBot="1">
      <c r="A18" s="174" t="s">
        <v>144</v>
      </c>
      <c r="B18" s="184">
        <f>SUM(B15:B17)+1</f>
        <v>4149246.42</v>
      </c>
      <c r="C18" s="184">
        <f>SUM(C15:C17)</f>
        <v>1354473.18</v>
      </c>
      <c r="D18" s="187">
        <f>SUM(D15:D17)</f>
        <v>0</v>
      </c>
      <c r="E18" s="187">
        <f>SUM(E15:E17)</f>
        <v>0</v>
      </c>
      <c r="F18" s="186">
        <f>SUM(F15:F17)</f>
        <v>5503718.6</v>
      </c>
    </row>
    <row r="19" spans="1:6" s="28" customFormat="1" ht="15" customHeight="1" thickTop="1">
      <c r="A19" s="178"/>
      <c r="B19" s="177"/>
      <c r="C19" s="177"/>
      <c r="D19" s="177"/>
      <c r="E19" s="177"/>
      <c r="F19" s="172"/>
    </row>
    <row r="20" spans="1:6" s="28" customFormat="1" ht="30" customHeight="1">
      <c r="A20" s="179" t="s">
        <v>189</v>
      </c>
      <c r="B20" s="185"/>
      <c r="C20" s="185"/>
      <c r="D20" s="185"/>
      <c r="E20" s="185"/>
      <c r="F20" s="177"/>
    </row>
    <row r="21" spans="1:6" s="28" customFormat="1" ht="15" customHeight="1">
      <c r="A21" s="178" t="s">
        <v>147</v>
      </c>
      <c r="B21" s="188">
        <v>0</v>
      </c>
      <c r="C21" s="189">
        <v>4155835.06</v>
      </c>
      <c r="D21" s="188">
        <v>0</v>
      </c>
      <c r="E21" s="188">
        <v>0</v>
      </c>
      <c r="F21" s="29">
        <f>SUM(B21:E21)</f>
        <v>4155835.06</v>
      </c>
    </row>
    <row r="22" spans="1:6" s="28" customFormat="1" ht="15" customHeight="1">
      <c r="A22" s="178" t="s">
        <v>146</v>
      </c>
      <c r="B22" s="188">
        <v>0</v>
      </c>
      <c r="C22" s="189">
        <v>1382422.14</v>
      </c>
      <c r="D22" s="188">
        <v>0</v>
      </c>
      <c r="E22" s="188">
        <v>0</v>
      </c>
      <c r="F22" s="29">
        <f>SUM(B22:E22)</f>
        <v>1382422.14</v>
      </c>
    </row>
    <row r="23" spans="1:6" s="28" customFormat="1" ht="15" customHeight="1">
      <c r="A23" s="178" t="s">
        <v>145</v>
      </c>
      <c r="B23" s="188">
        <v>0</v>
      </c>
      <c r="C23" s="189">
        <v>15856.23</v>
      </c>
      <c r="D23" s="188">
        <v>0</v>
      </c>
      <c r="E23" s="188">
        <v>0</v>
      </c>
      <c r="F23" s="29">
        <f>SUM(B23:E23)</f>
        <v>15856.23</v>
      </c>
    </row>
    <row r="24" spans="1:6" s="28" customFormat="1" ht="15" customHeight="1" thickBot="1">
      <c r="A24" s="174" t="s">
        <v>144</v>
      </c>
      <c r="B24" s="187">
        <f>SUM(B21:B23)</f>
        <v>0</v>
      </c>
      <c r="C24" s="184">
        <f>SUM(C21:C23)</f>
        <v>5554113.430000001</v>
      </c>
      <c r="D24" s="187">
        <f>SUM(D21:D23)</f>
        <v>0</v>
      </c>
      <c r="E24" s="187">
        <f>SUM(E21:E23)</f>
        <v>0</v>
      </c>
      <c r="F24" s="186">
        <f>SUM(F21:F23)</f>
        <v>5554113.430000001</v>
      </c>
    </row>
    <row r="25" spans="1:6" s="180" customFormat="1" ht="15" customHeight="1" thickTop="1">
      <c r="A25" s="182"/>
      <c r="B25" s="177"/>
      <c r="C25" s="177"/>
      <c r="D25" s="177"/>
      <c r="E25" s="177"/>
      <c r="F25" s="177"/>
    </row>
    <row r="26" spans="1:6" s="28" customFormat="1" ht="15" customHeight="1">
      <c r="A26" s="179" t="s">
        <v>148</v>
      </c>
      <c r="B26" s="177"/>
      <c r="C26" s="177"/>
      <c r="D26" s="177"/>
      <c r="E26" s="177"/>
      <c r="F26" s="177"/>
    </row>
    <row r="27" spans="1:6" s="28" customFormat="1" ht="15" customHeight="1">
      <c r="A27" s="178" t="s">
        <v>147</v>
      </c>
      <c r="B27" s="29">
        <f aca="true" t="shared" si="0" ref="B27:E29">B9-(B15-B21)</f>
        <v>1018254.27</v>
      </c>
      <c r="C27" s="29">
        <f t="shared" si="0"/>
        <v>3070860.42</v>
      </c>
      <c r="D27" s="294">
        <f t="shared" si="0"/>
        <v>-86</v>
      </c>
      <c r="E27" s="188">
        <f t="shared" si="0"/>
        <v>0</v>
      </c>
      <c r="F27" s="29">
        <f>SUM(B27:E27)-1</f>
        <v>4089027.69</v>
      </c>
    </row>
    <row r="28" spans="1:6" s="28" customFormat="1" ht="15" customHeight="1">
      <c r="A28" s="178" t="s">
        <v>146</v>
      </c>
      <c r="B28" s="29">
        <f t="shared" si="0"/>
        <v>326467.43000000005</v>
      </c>
      <c r="C28" s="29">
        <f t="shared" si="0"/>
        <v>1023668.0799999998</v>
      </c>
      <c r="D28" s="294">
        <f t="shared" si="0"/>
        <v>-19</v>
      </c>
      <c r="E28" s="188">
        <f t="shared" si="0"/>
        <v>0</v>
      </c>
      <c r="F28" s="29">
        <f>SUM(B28:E28)-1</f>
        <v>1350115.5099999998</v>
      </c>
    </row>
    <row r="29" spans="1:6" s="28" customFormat="1" ht="15" customHeight="1">
      <c r="A29" s="176" t="s">
        <v>145</v>
      </c>
      <c r="B29" s="29">
        <f t="shared" si="0"/>
        <v>3620.879999999999</v>
      </c>
      <c r="C29" s="29">
        <f t="shared" si="0"/>
        <v>11981.75</v>
      </c>
      <c r="D29" s="29">
        <f t="shared" si="0"/>
        <v>0</v>
      </c>
      <c r="E29" s="188">
        <f t="shared" si="0"/>
        <v>0</v>
      </c>
      <c r="F29" s="29">
        <f>SUM(B29:E29)</f>
        <v>15602.63</v>
      </c>
    </row>
    <row r="30" spans="1:6" s="28" customFormat="1" ht="15" customHeight="1" thickBot="1">
      <c r="A30" s="174" t="s">
        <v>144</v>
      </c>
      <c r="B30" s="173">
        <f>SUM(B27:B29)-1</f>
        <v>1348341.58</v>
      </c>
      <c r="C30" s="173">
        <f>SUM(C27:C29)</f>
        <v>4106510.25</v>
      </c>
      <c r="D30" s="173">
        <f>SUM(D27:D29)</f>
        <v>-105</v>
      </c>
      <c r="E30" s="295">
        <f>SUM(E27:E29)</f>
        <v>0</v>
      </c>
      <c r="F30" s="173">
        <f>SUM(F27:F29)+1</f>
        <v>5454746.829999999</v>
      </c>
    </row>
    <row r="31" spans="1:6" s="28" customFormat="1" ht="15" customHeight="1" thickTop="1">
      <c r="A31" s="174"/>
      <c r="B31" s="14"/>
      <c r="C31" s="14"/>
      <c r="D31" s="14"/>
      <c r="E31" s="222"/>
      <c r="F31" s="14"/>
    </row>
    <row r="32" spans="1:6" s="217" customFormat="1" ht="19.5" customHeight="1">
      <c r="A32" s="336" t="s">
        <v>158</v>
      </c>
      <c r="B32" s="336"/>
      <c r="C32" s="336"/>
      <c r="D32" s="336"/>
      <c r="E32" s="336"/>
      <c r="F32" s="336"/>
    </row>
    <row r="33" spans="1:6" s="217" customFormat="1" ht="19.5" customHeight="1">
      <c r="A33" s="336"/>
      <c r="B33" s="336"/>
      <c r="C33" s="336"/>
      <c r="D33" s="336"/>
      <c r="E33" s="336"/>
      <c r="F33" s="336"/>
    </row>
    <row r="34" spans="1:6" s="217" customFormat="1" ht="19.5" customHeight="1">
      <c r="A34" s="336"/>
      <c r="B34" s="336"/>
      <c r="C34" s="336"/>
      <c r="D34" s="336"/>
      <c r="E34" s="336"/>
      <c r="F34" s="336"/>
    </row>
    <row r="35" spans="1:6" s="217" customFormat="1" ht="15" customHeight="1">
      <c r="A35" s="209"/>
      <c r="B35" s="337" t="s">
        <v>157</v>
      </c>
      <c r="C35" s="219"/>
      <c r="D35" s="221"/>
      <c r="E35" s="337" t="s">
        <v>157</v>
      </c>
      <c r="F35" s="219"/>
    </row>
    <row r="36" spans="1:6" s="217" customFormat="1" ht="15" customHeight="1">
      <c r="A36" s="220" t="s">
        <v>156</v>
      </c>
      <c r="B36" s="337"/>
      <c r="C36" s="218" t="s">
        <v>155</v>
      </c>
      <c r="D36" s="219" t="s">
        <v>156</v>
      </c>
      <c r="E36" s="337"/>
      <c r="F36" s="218" t="s">
        <v>155</v>
      </c>
    </row>
    <row r="37" spans="1:6" ht="15" customHeight="1">
      <c r="A37" s="215" t="s">
        <v>198</v>
      </c>
      <c r="B37" s="214">
        <v>848111</v>
      </c>
      <c r="C37" s="214">
        <f>B37+147363</f>
        <v>995474</v>
      </c>
      <c r="D37" s="216" t="s">
        <v>199</v>
      </c>
      <c r="E37" s="214">
        <v>813752</v>
      </c>
      <c r="F37" s="214">
        <f>E37+138025</f>
        <v>951777</v>
      </c>
    </row>
    <row r="38" spans="1:7" ht="15" customHeight="1">
      <c r="A38" s="215" t="s">
        <v>200</v>
      </c>
      <c r="B38" s="214">
        <v>845292.1799999999</v>
      </c>
      <c r="C38" s="214">
        <f>B38+144440</f>
        <v>989732.1799999999</v>
      </c>
      <c r="D38" s="216" t="s">
        <v>212</v>
      </c>
      <c r="E38" s="214">
        <v>827225.01</v>
      </c>
      <c r="F38" s="214">
        <f>E38+134123</f>
        <v>961348.01</v>
      </c>
      <c r="G38" s="213"/>
    </row>
    <row r="39" spans="1:7" ht="15" customHeight="1">
      <c r="A39" s="215" t="s">
        <v>201</v>
      </c>
      <c r="B39" s="214">
        <v>845365.97</v>
      </c>
      <c r="C39" s="214">
        <f>B39+141933</f>
        <v>987298.97</v>
      </c>
      <c r="D39" s="216"/>
      <c r="E39" s="214"/>
      <c r="F39" s="214"/>
      <c r="G39" s="213"/>
    </row>
    <row r="40" spans="1:7" ht="15" customHeight="1">
      <c r="A40" s="215" t="s">
        <v>202</v>
      </c>
      <c r="B40" s="214">
        <v>841685.1700000002</v>
      </c>
      <c r="C40" s="214">
        <f>B40+141618</f>
        <v>983303.1700000002</v>
      </c>
      <c r="D40" s="216"/>
      <c r="E40" s="214"/>
      <c r="F40" s="214"/>
      <c r="G40" s="213"/>
    </row>
    <row r="41" spans="1:6" s="209" customFormat="1" ht="15" customHeight="1">
      <c r="A41" s="211"/>
      <c r="B41" s="212"/>
      <c r="C41" s="212"/>
      <c r="D41" s="212"/>
      <c r="E41" s="211"/>
      <c r="F41" s="210"/>
    </row>
    <row r="42" spans="1:6" s="209" customFormat="1" ht="15" customHeight="1">
      <c r="A42" s="336" t="s">
        <v>154</v>
      </c>
      <c r="B42" s="336"/>
      <c r="C42" s="336"/>
      <c r="D42" s="336"/>
      <c r="E42" s="336"/>
      <c r="F42" s="336"/>
    </row>
    <row r="43" spans="1:6" s="209" customFormat="1" ht="15" customHeight="1">
      <c r="A43" s="336"/>
      <c r="B43" s="336"/>
      <c r="C43" s="336"/>
      <c r="D43" s="336"/>
      <c r="E43" s="336"/>
      <c r="F43" s="336"/>
    </row>
    <row r="44" spans="1:6" s="209" customFormat="1" ht="15" customHeight="1">
      <c r="A44" s="211"/>
      <c r="B44" s="212"/>
      <c r="C44" s="212"/>
      <c r="D44" s="212"/>
      <c r="E44" s="211"/>
      <c r="F44" s="210"/>
    </row>
    <row r="45" spans="1:6" s="209" customFormat="1" ht="15" customHeight="1">
      <c r="A45" s="211"/>
      <c r="B45" s="212"/>
      <c r="C45" s="212"/>
      <c r="D45" s="212"/>
      <c r="E45" s="211"/>
      <c r="F45" s="210"/>
    </row>
    <row r="46" spans="1:6" s="209" customFormat="1" ht="15" customHeight="1">
      <c r="A46" s="211"/>
      <c r="B46" s="212"/>
      <c r="C46" s="212"/>
      <c r="D46" s="212"/>
      <c r="E46" s="211"/>
      <c r="F46" s="210"/>
    </row>
    <row r="47" spans="1:6" s="209" customFormat="1" ht="15" customHeight="1">
      <c r="A47" s="211"/>
      <c r="B47" s="212"/>
      <c r="C47" s="212"/>
      <c r="D47" s="212"/>
      <c r="E47" s="211"/>
      <c r="F47" s="210"/>
    </row>
    <row r="48" spans="1:6" s="209" customFormat="1" ht="15" customHeight="1">
      <c r="A48" s="211"/>
      <c r="B48" s="212"/>
      <c r="C48" s="212"/>
      <c r="D48" s="212"/>
      <c r="E48" s="211"/>
      <c r="F48" s="210"/>
    </row>
    <row r="49" spans="1:6" s="209" customFormat="1" ht="15" customHeight="1">
      <c r="A49" s="211"/>
      <c r="B49" s="212"/>
      <c r="C49" s="212"/>
      <c r="D49" s="212"/>
      <c r="E49" s="211"/>
      <c r="F49" s="210"/>
    </row>
    <row r="50" spans="1:6" s="209" customFormat="1" ht="15" customHeight="1">
      <c r="A50" s="211"/>
      <c r="B50" s="212"/>
      <c r="C50" s="212"/>
      <c r="D50" s="212"/>
      <c r="E50" s="211"/>
      <c r="F50" s="210"/>
    </row>
    <row r="51" spans="1:6" s="209" customFormat="1" ht="15" customHeight="1">
      <c r="A51" s="211"/>
      <c r="B51" s="212"/>
      <c r="C51" s="212"/>
      <c r="D51" s="212"/>
      <c r="E51" s="211"/>
      <c r="F51" s="210"/>
    </row>
    <row r="52" spans="1:6" s="209" customFormat="1" ht="15" customHeight="1">
      <c r="A52" s="211"/>
      <c r="B52" s="212"/>
      <c r="C52" s="212"/>
      <c r="D52" s="212"/>
      <c r="E52" s="211"/>
      <c r="F52" s="210"/>
    </row>
    <row r="53" spans="1:6" s="209" customFormat="1" ht="15" customHeight="1">
      <c r="A53" s="211"/>
      <c r="B53" s="212"/>
      <c r="C53" s="212"/>
      <c r="D53" s="212"/>
      <c r="E53" s="211"/>
      <c r="F53" s="210"/>
    </row>
    <row r="54" spans="1:6" s="209" customFormat="1" ht="15" customHeight="1">
      <c r="A54" s="211"/>
      <c r="B54" s="212"/>
      <c r="C54" s="212"/>
      <c r="D54" s="212"/>
      <c r="E54" s="211"/>
      <c r="F54" s="210"/>
    </row>
    <row r="55" spans="1:6" s="209" customFormat="1" ht="15" customHeight="1">
      <c r="A55" s="211"/>
      <c r="B55" s="212"/>
      <c r="C55" s="212"/>
      <c r="D55" s="212"/>
      <c r="E55" s="211"/>
      <c r="F55" s="210"/>
    </row>
    <row r="56" spans="1:6" s="209" customFormat="1" ht="15" customHeight="1">
      <c r="A56" s="211"/>
      <c r="B56" s="212"/>
      <c r="C56" s="212"/>
      <c r="D56" s="212"/>
      <c r="E56" s="211"/>
      <c r="F56" s="210"/>
    </row>
    <row r="57" spans="1:6" s="209" customFormat="1" ht="15" customHeight="1">
      <c r="A57" s="211"/>
      <c r="B57" s="212"/>
      <c r="C57" s="212"/>
      <c r="D57" s="212"/>
      <c r="E57" s="211"/>
      <c r="F57" s="210"/>
    </row>
    <row r="58" spans="1:6" s="209" customFormat="1" ht="15" customHeight="1">
      <c r="A58" s="211"/>
      <c r="B58" s="212"/>
      <c r="C58" s="212"/>
      <c r="D58" s="212"/>
      <c r="E58" s="211"/>
      <c r="F58" s="210"/>
    </row>
  </sheetData>
  <sheetProtection/>
  <mergeCells count="4">
    <mergeCell ref="A42:F43"/>
    <mergeCell ref="A32:F34"/>
    <mergeCell ref="B35:B36"/>
    <mergeCell ref="E35:E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sheetPr codeName="Sheet9"/>
  <dimension ref="A1:F74"/>
  <sheetViews>
    <sheetView zoomScalePageLayoutView="0" workbookViewId="0" topLeftCell="A1">
      <selection activeCell="A1" sqref="A1:F2"/>
    </sheetView>
  </sheetViews>
  <sheetFormatPr defaultColWidth="15.7109375" defaultRowHeight="15" customHeight="1"/>
  <cols>
    <col min="1" max="1" width="59.00390625" style="225" customWidth="1"/>
    <col min="2" max="4" width="16.7109375" style="224" customWidth="1"/>
    <col min="5" max="6" width="16.7109375" style="223" customWidth="1"/>
    <col min="7" max="16384" width="15.7109375" style="133" customWidth="1"/>
  </cols>
  <sheetData>
    <row r="1" spans="1:6" s="249" customFormat="1" ht="24.75" customHeight="1">
      <c r="A1" s="338" t="s">
        <v>0</v>
      </c>
      <c r="B1" s="338"/>
      <c r="C1" s="338"/>
      <c r="D1" s="338"/>
      <c r="E1" s="338"/>
      <c r="F1" s="338"/>
    </row>
    <row r="2" spans="1:6" s="248" customFormat="1" ht="15" customHeight="1">
      <c r="A2" s="226"/>
      <c r="B2" s="245"/>
      <c r="C2" s="245"/>
      <c r="D2" s="245"/>
      <c r="E2" s="245"/>
      <c r="F2" s="245"/>
    </row>
    <row r="3" spans="1:6" s="247" customFormat="1" ht="15" customHeight="1">
      <c r="A3" s="339" t="s">
        <v>167</v>
      </c>
      <c r="B3" s="339"/>
      <c r="C3" s="339"/>
      <c r="D3" s="339"/>
      <c r="E3" s="339"/>
      <c r="F3" s="339"/>
    </row>
    <row r="4" spans="1:6" s="247" customFormat="1" ht="15" customHeight="1">
      <c r="A4" s="339" t="s">
        <v>175</v>
      </c>
      <c r="B4" s="339"/>
      <c r="C4" s="339"/>
      <c r="D4" s="339"/>
      <c r="E4" s="339"/>
      <c r="F4" s="339"/>
    </row>
    <row r="5" spans="1:6" s="244" customFormat="1" ht="15" customHeight="1">
      <c r="A5" s="226"/>
      <c r="B5" s="246"/>
      <c r="C5" s="246"/>
      <c r="D5" s="246"/>
      <c r="E5" s="245"/>
      <c r="F5" s="245"/>
    </row>
    <row r="6" spans="2:6" ht="30" customHeight="1">
      <c r="B6" s="195" t="s">
        <v>176</v>
      </c>
      <c r="C6" s="195" t="s">
        <v>1</v>
      </c>
      <c r="D6" s="195" t="s">
        <v>2</v>
      </c>
      <c r="E6" s="195" t="s">
        <v>3</v>
      </c>
      <c r="F6" s="195" t="s">
        <v>4</v>
      </c>
    </row>
    <row r="7" spans="1:6" ht="15" customHeight="1">
      <c r="A7" s="238" t="s">
        <v>166</v>
      </c>
      <c r="B7" s="227"/>
      <c r="C7" s="227"/>
      <c r="D7" s="227"/>
      <c r="E7" s="227"/>
      <c r="F7" s="227"/>
    </row>
    <row r="8" spans="1:6" ht="15" customHeight="1">
      <c r="A8" s="238" t="s">
        <v>165</v>
      </c>
      <c r="B8" s="243"/>
      <c r="C8" s="243"/>
      <c r="D8" s="243"/>
      <c r="E8" s="132"/>
      <c r="F8" s="243"/>
    </row>
    <row r="9" spans="1:6" ht="15" customHeight="1">
      <c r="A9" s="236" t="s">
        <v>164</v>
      </c>
      <c r="B9" s="132">
        <f>'[3]Loss Expenses Paid QTD-15'!E27</f>
        <v>29182.45</v>
      </c>
      <c r="C9" s="132">
        <f>'[3]Loss Expenses Paid QTD-15'!E21</f>
        <v>1889618.58</v>
      </c>
      <c r="D9" s="132">
        <f>'[3]Loss Expenses Paid QTD-15'!E15+'[3]2Q13 Trial Balance'!C286+'[3]2Q13 Trial Balance'!C284</f>
        <v>40600.04</v>
      </c>
      <c r="E9" s="149">
        <v>0</v>
      </c>
      <c r="F9" s="132">
        <f>SUM(B9:E9)</f>
        <v>1959401.07</v>
      </c>
    </row>
    <row r="10" spans="1:6" ht="15" customHeight="1">
      <c r="A10" s="236" t="s">
        <v>146</v>
      </c>
      <c r="B10" s="27">
        <f>'[3]Loss Expenses Paid QTD-15'!E28</f>
        <v>24672.23</v>
      </c>
      <c r="C10" s="27">
        <f>'[3]Loss Expenses Paid QTD-15'!E22+'[3]2Q13 Trial Balance'!C289</f>
        <v>1575770.11</v>
      </c>
      <c r="D10" s="27">
        <f>'[3]Loss Expenses Paid QTD-15'!E16+'[3]2Q13 Trial Balance'!C287</f>
        <v>158459.89</v>
      </c>
      <c r="E10" s="149">
        <f>'[3]Loss Expenses Paid QTD-15'!E10</f>
        <v>0</v>
      </c>
      <c r="F10" s="190">
        <f>SUM(B10:E10)</f>
        <v>1758902.23</v>
      </c>
    </row>
    <row r="11" spans="1:6" ht="15" customHeight="1">
      <c r="A11" s="236" t="s">
        <v>145</v>
      </c>
      <c r="B11" s="175">
        <f>'[3]Loss Expenses Paid QTD-15'!E29</f>
        <v>0</v>
      </c>
      <c r="C11" s="175">
        <f>'[3]Loss Expenses Paid QTD-15'!E23</f>
        <v>0</v>
      </c>
      <c r="D11" s="175">
        <f>'[3]Loss Expenses Paid QTD-15'!E17</f>
        <v>0</v>
      </c>
      <c r="E11" s="149">
        <f>'[3]Loss Expenses Paid QTD-15'!E11</f>
        <v>0</v>
      </c>
      <c r="F11" s="175">
        <f>SUM(B11:E11)</f>
        <v>0</v>
      </c>
    </row>
    <row r="12" spans="1:6" ht="15" customHeight="1" thickBot="1">
      <c r="A12" s="235" t="s">
        <v>144</v>
      </c>
      <c r="B12" s="88">
        <f>SUM(B9:B11)-1</f>
        <v>53853.68</v>
      </c>
      <c r="C12" s="88">
        <f>SUM(C9:C11)</f>
        <v>3465388.6900000004</v>
      </c>
      <c r="D12" s="88">
        <f>SUM(D9:D11)</f>
        <v>199059.93000000002</v>
      </c>
      <c r="E12" s="262">
        <f>SUM(E9:E11)</f>
        <v>0</v>
      </c>
      <c r="F12" s="242">
        <f>SUM(F9:F11)</f>
        <v>3718303.3</v>
      </c>
    </row>
    <row r="13" spans="1:6" ht="15" customHeight="1" thickTop="1">
      <c r="A13" s="238"/>
      <c r="B13" s="237"/>
      <c r="C13" s="237"/>
      <c r="D13" s="237"/>
      <c r="E13" s="190"/>
      <c r="F13" s="190"/>
    </row>
    <row r="14" spans="1:6" ht="15" customHeight="1">
      <c r="A14" s="238" t="s">
        <v>184</v>
      </c>
      <c r="B14" s="237"/>
      <c r="C14" s="237"/>
      <c r="D14" s="237"/>
      <c r="E14" s="190"/>
      <c r="F14" s="190"/>
    </row>
    <row r="15" spans="1:6" ht="15" customHeight="1">
      <c r="A15" s="236" t="s">
        <v>161</v>
      </c>
      <c r="B15" s="27">
        <f>'[3]Unpaid Loss Reserves-13'!B9</f>
        <v>33600</v>
      </c>
      <c r="C15" s="27">
        <f>'[3]Unpaid Loss Reserves-13'!C9</f>
        <v>1844492.29</v>
      </c>
      <c r="D15" s="27">
        <f>'[3]Unpaid Loss Reserves-13'!D9</f>
        <v>57262.79</v>
      </c>
      <c r="E15" s="149">
        <f>'[3]Unpaid Loss Reserves-13'!E9</f>
        <v>0</v>
      </c>
      <c r="F15" s="190">
        <f>SUM(B15:E15)</f>
        <v>1935355.08</v>
      </c>
    </row>
    <row r="16" spans="1:6" ht="15" customHeight="1">
      <c r="A16" s="236" t="s">
        <v>160</v>
      </c>
      <c r="B16" s="27">
        <f>'[3]Unpaid Loss Reserves-13'!B10</f>
        <v>30985.32</v>
      </c>
      <c r="C16" s="27">
        <f>'[3]Unpaid Loss Reserves-13'!C10</f>
        <v>364823.67</v>
      </c>
      <c r="D16" s="27">
        <f>'[3]Unpaid Loss Reserves-13'!D10</f>
        <v>57850.92</v>
      </c>
      <c r="E16" s="149">
        <f>'[3]Unpaid Loss Reserves-13'!E10</f>
        <v>0</v>
      </c>
      <c r="F16" s="190">
        <f>SUM(B16:E16)</f>
        <v>453659.91</v>
      </c>
    </row>
    <row r="17" spans="1:6" ht="15" customHeight="1">
      <c r="A17" s="236" t="s">
        <v>159</v>
      </c>
      <c r="B17" s="175">
        <f>'[3]Unpaid Loss Reserves-13'!B11</f>
        <v>0</v>
      </c>
      <c r="C17" s="175">
        <f>'[3]Unpaid Loss Reserves-13'!C11</f>
        <v>0</v>
      </c>
      <c r="D17" s="175">
        <f>'[3]Unpaid Loss Reserves-13'!D11</f>
        <v>0</v>
      </c>
      <c r="E17" s="149">
        <f>'[3]Unpaid Loss Reserves-13'!E11</f>
        <v>0</v>
      </c>
      <c r="F17" s="175">
        <f>SUM(B17:E17)</f>
        <v>0</v>
      </c>
    </row>
    <row r="18" spans="1:6" ht="15" customHeight="1" thickBot="1">
      <c r="A18" s="235" t="s">
        <v>144</v>
      </c>
      <c r="B18" s="88">
        <f>SUM(B15:B17)</f>
        <v>64585.32</v>
      </c>
      <c r="C18" s="88">
        <f>SUM(C15:C17)</f>
        <v>2209315.96</v>
      </c>
      <c r="D18" s="88">
        <f>SUM(D15:D17)</f>
        <v>115113.70999999999</v>
      </c>
      <c r="E18" s="262">
        <f>SUM(E15:E17)</f>
        <v>0</v>
      </c>
      <c r="F18" s="242">
        <f>SUM(F15:F17)</f>
        <v>2389014.99</v>
      </c>
    </row>
    <row r="19" spans="1:6" ht="15" customHeight="1" thickTop="1">
      <c r="A19" s="238"/>
      <c r="B19" s="89"/>
      <c r="C19" s="89"/>
      <c r="D19" s="89"/>
      <c r="E19" s="241"/>
      <c r="F19" s="241"/>
    </row>
    <row r="20" spans="1:6" ht="15" customHeight="1">
      <c r="A20" s="238" t="s">
        <v>185</v>
      </c>
      <c r="B20" s="233"/>
      <c r="C20" s="233"/>
      <c r="D20" s="233"/>
      <c r="E20" s="233"/>
      <c r="F20" s="233"/>
    </row>
    <row r="21" spans="1:6" ht="15" customHeight="1">
      <c r="A21" s="236" t="s">
        <v>161</v>
      </c>
      <c r="B21" s="27">
        <f>'[3]Unpaid Loss Reserves-13'!B16</f>
        <v>298754.69</v>
      </c>
      <c r="C21" s="149">
        <f>'[3]Unpaid Loss Reserves-13'!C16</f>
        <v>0</v>
      </c>
      <c r="D21" s="149">
        <f>'[3]Unpaid Loss Reserves-13'!D16</f>
        <v>0</v>
      </c>
      <c r="E21" s="149">
        <f>'[3]Unpaid Loss Reserves-13'!E16</f>
        <v>0</v>
      </c>
      <c r="F21" s="190">
        <f>SUM(B21:E21)</f>
        <v>298754.69</v>
      </c>
    </row>
    <row r="22" spans="1:6" ht="15" customHeight="1">
      <c r="A22" s="236" t="s">
        <v>160</v>
      </c>
      <c r="B22" s="27">
        <f>'[3]Unpaid Loss Reserves-13'!B17</f>
        <v>275506.31</v>
      </c>
      <c r="C22" s="149">
        <f>'[3]Unpaid Loss Reserves-13'!C17</f>
        <v>0</v>
      </c>
      <c r="D22" s="149">
        <f>'[3]Unpaid Loss Reserves-13'!D17</f>
        <v>0</v>
      </c>
      <c r="E22" s="149">
        <f>'[3]Unpaid Loss Reserves-13'!E17</f>
        <v>0</v>
      </c>
      <c r="F22" s="190">
        <f>SUM(B22:E22)</f>
        <v>275506.31</v>
      </c>
    </row>
    <row r="23" spans="1:6" ht="15" customHeight="1">
      <c r="A23" s="236" t="s">
        <v>159</v>
      </c>
      <c r="B23" s="175">
        <f>'[3]Unpaid Loss Reserves-13'!B18</f>
        <v>0</v>
      </c>
      <c r="C23" s="149">
        <f>'[3]Unpaid Loss Reserves-13'!C18</f>
        <v>0</v>
      </c>
      <c r="D23" s="149">
        <f>'[3]Unpaid Loss Reserves-13'!D18</f>
        <v>0</v>
      </c>
      <c r="E23" s="149">
        <f>'[3]Unpaid Loss Reserves-13'!E18</f>
        <v>0</v>
      </c>
      <c r="F23" s="175">
        <f>SUM(B23:E23)</f>
        <v>0</v>
      </c>
    </row>
    <row r="24" spans="1:6" ht="15" customHeight="1" thickBot="1">
      <c r="A24" s="235" t="s">
        <v>144</v>
      </c>
      <c r="B24" s="88">
        <f>SUM(B21:B23)</f>
        <v>574261</v>
      </c>
      <c r="C24" s="262">
        <f>SUM(C21:C23)</f>
        <v>0</v>
      </c>
      <c r="D24" s="262">
        <f>SUM(D21:D23)</f>
        <v>0</v>
      </c>
      <c r="E24" s="262">
        <f>SUM(E21:E23)</f>
        <v>0</v>
      </c>
      <c r="F24" s="242">
        <f>SUM(F21:F23)</f>
        <v>574261</v>
      </c>
    </row>
    <row r="25" spans="1:6" ht="15" customHeight="1" thickTop="1">
      <c r="A25" s="238"/>
      <c r="B25" s="237"/>
      <c r="C25" s="237"/>
      <c r="D25" s="237"/>
      <c r="E25" s="190"/>
      <c r="F25" s="190"/>
    </row>
    <row r="26" spans="1:6" ht="15" customHeight="1">
      <c r="A26" s="238" t="s">
        <v>187</v>
      </c>
      <c r="B26" s="240"/>
      <c r="C26" s="240"/>
      <c r="D26" s="240"/>
      <c r="E26" s="190"/>
      <c r="F26" s="190"/>
    </row>
    <row r="27" spans="1:6" ht="15" customHeight="1">
      <c r="A27" s="238" t="s">
        <v>163</v>
      </c>
      <c r="B27" s="240"/>
      <c r="C27" s="240"/>
      <c r="D27" s="240"/>
      <c r="E27" s="190"/>
      <c r="F27" s="190"/>
    </row>
    <row r="28" spans="1:6" ht="15" customHeight="1">
      <c r="A28" s="236" t="s">
        <v>161</v>
      </c>
      <c r="B28" s="190">
        <v>168848.33</v>
      </c>
      <c r="C28" s="190">
        <v>2555395.15</v>
      </c>
      <c r="D28" s="190">
        <v>203157.61</v>
      </c>
      <c r="E28" s="190">
        <v>52262.79</v>
      </c>
      <c r="F28" s="190">
        <f>SUM(B28:E28)</f>
        <v>2979663.88</v>
      </c>
    </row>
    <row r="29" spans="1:6" ht="15" customHeight="1">
      <c r="A29" s="236" t="s">
        <v>160</v>
      </c>
      <c r="B29" s="190">
        <v>3517.67</v>
      </c>
      <c r="C29" s="190">
        <v>1535857.32</v>
      </c>
      <c r="D29" s="190">
        <v>119314.09</v>
      </c>
      <c r="E29" s="175">
        <v>0</v>
      </c>
      <c r="F29" s="190">
        <f>SUM(B29:E29)</f>
        <v>1658689.08</v>
      </c>
    </row>
    <row r="30" spans="1:6" ht="15" customHeight="1">
      <c r="A30" s="236" t="s">
        <v>159</v>
      </c>
      <c r="B30" s="175">
        <v>0</v>
      </c>
      <c r="C30" s="175">
        <v>0</v>
      </c>
      <c r="D30" s="175">
        <v>0</v>
      </c>
      <c r="E30" s="175">
        <v>0</v>
      </c>
      <c r="F30" s="175">
        <f>SUM(B30:E30)</f>
        <v>0</v>
      </c>
    </row>
    <row r="31" spans="1:6" ht="15" customHeight="1" thickBot="1">
      <c r="A31" s="235" t="s">
        <v>144</v>
      </c>
      <c r="B31" s="88">
        <f>SUM(B28:B30)</f>
        <v>172366</v>
      </c>
      <c r="C31" s="88">
        <f>SUM(C28:C30)</f>
        <v>4091252.4699999997</v>
      </c>
      <c r="D31" s="88">
        <f>SUM(D28:D30)</f>
        <v>322471.69999999995</v>
      </c>
      <c r="E31" s="88">
        <f>SUM(E28:E30)</f>
        <v>52262.79</v>
      </c>
      <c r="F31" s="242">
        <f>SUM(F28:F30)</f>
        <v>4638352.96</v>
      </c>
    </row>
    <row r="32" spans="1:6" s="239" customFormat="1" ht="15" customHeight="1" thickTop="1">
      <c r="A32" s="238"/>
      <c r="B32" s="240"/>
      <c r="C32" s="240"/>
      <c r="D32" s="240"/>
      <c r="E32" s="240"/>
      <c r="F32" s="240"/>
    </row>
    <row r="33" spans="1:6" ht="15" customHeight="1">
      <c r="A33" s="238" t="s">
        <v>162</v>
      </c>
      <c r="B33" s="237"/>
      <c r="C33" s="237"/>
      <c r="D33" s="237"/>
      <c r="E33" s="190"/>
      <c r="F33" s="190"/>
    </row>
    <row r="34" spans="1:6" ht="15" customHeight="1">
      <c r="A34" s="236" t="s">
        <v>161</v>
      </c>
      <c r="B34" s="190">
        <f aca="true" t="shared" si="0" ref="B34:C36">B9+(B15+B21-B28)</f>
        <v>192688.81000000003</v>
      </c>
      <c r="C34" s="190">
        <f t="shared" si="0"/>
        <v>1178715.7200000002</v>
      </c>
      <c r="D34" s="189">
        <f aca="true" t="shared" si="1" ref="D34:E36">D9+(D15+D21-D28)</f>
        <v>-105294.77999999997</v>
      </c>
      <c r="E34" s="189">
        <f>E9+(E15+E21-E28)</f>
        <v>-52262.79</v>
      </c>
      <c r="F34" s="190">
        <f>SUM(B34:E34)</f>
        <v>1213846.9600000002</v>
      </c>
    </row>
    <row r="35" spans="1:6" ht="15" customHeight="1">
      <c r="A35" s="236" t="s">
        <v>160</v>
      </c>
      <c r="B35" s="190">
        <f>B10+(B16+B22-B29)-1</f>
        <v>327645.19</v>
      </c>
      <c r="C35" s="190">
        <f>C10+(C16+C22-C29)+1</f>
        <v>404737.45999999996</v>
      </c>
      <c r="D35" s="190">
        <f t="shared" si="1"/>
        <v>96996.72000000002</v>
      </c>
      <c r="E35" s="175">
        <f t="shared" si="1"/>
        <v>0</v>
      </c>
      <c r="F35" s="190">
        <f>SUM(B35:E35)</f>
        <v>829379.3699999999</v>
      </c>
    </row>
    <row r="36" spans="1:6" ht="15" customHeight="1">
      <c r="A36" s="236" t="s">
        <v>159</v>
      </c>
      <c r="B36" s="175">
        <f t="shared" si="0"/>
        <v>0</v>
      </c>
      <c r="C36" s="175">
        <f t="shared" si="0"/>
        <v>0</v>
      </c>
      <c r="D36" s="175">
        <f t="shared" si="1"/>
        <v>0</v>
      </c>
      <c r="E36" s="175">
        <f t="shared" si="1"/>
        <v>0</v>
      </c>
      <c r="F36" s="175">
        <f>SUM(B36:E36)</f>
        <v>0</v>
      </c>
    </row>
    <row r="37" spans="1:6" ht="15" customHeight="1" thickBot="1">
      <c r="A37" s="235" t="s">
        <v>144</v>
      </c>
      <c r="B37" s="234">
        <f>SUM(B34:B36)</f>
        <v>520334</v>
      </c>
      <c r="C37" s="234">
        <f>SUM(C34:C36)</f>
        <v>1583453.1800000002</v>
      </c>
      <c r="D37" s="234">
        <f>SUM(D34:D36)</f>
        <v>-8298.059999999954</v>
      </c>
      <c r="E37" s="234">
        <f>SUM(E34:E36)</f>
        <v>-52262.79</v>
      </c>
      <c r="F37" s="234">
        <f>SUM(F34:F36)</f>
        <v>2043226.33</v>
      </c>
    </row>
    <row r="38" spans="2:6" ht="15" customHeight="1" thickTop="1">
      <c r="B38" s="233"/>
      <c r="C38" s="233"/>
      <c r="D38" s="233"/>
      <c r="F38" s="229"/>
    </row>
    <row r="39" spans="1:6" s="228" customFormat="1" ht="15" customHeight="1">
      <c r="A39" s="232"/>
      <c r="B39" s="231"/>
      <c r="C39" s="231"/>
      <c r="D39" s="231"/>
      <c r="E39" s="230"/>
      <c r="F39" s="229"/>
    </row>
    <row r="40" spans="2:4" ht="15" customHeight="1">
      <c r="B40" s="227"/>
      <c r="C40" s="227"/>
      <c r="D40" s="227"/>
    </row>
    <row r="41" spans="2:4" ht="15" customHeight="1">
      <c r="B41" s="227"/>
      <c r="C41" s="227"/>
      <c r="D41" s="227"/>
    </row>
    <row r="42" spans="2:4" ht="15" customHeight="1">
      <c r="B42" s="227"/>
      <c r="C42" s="227"/>
      <c r="D42" s="227"/>
    </row>
    <row r="43" spans="1:4" ht="15" customHeight="1">
      <c r="A43" s="226"/>
      <c r="B43" s="227"/>
      <c r="C43" s="227"/>
      <c r="D43" s="227"/>
    </row>
    <row r="44" spans="1:4" ht="15" customHeight="1">
      <c r="A44" s="226"/>
      <c r="B44" s="227"/>
      <c r="C44" s="227"/>
      <c r="D44" s="227"/>
    </row>
    <row r="45" spans="1:4" ht="15" customHeight="1">
      <c r="A45" s="226"/>
      <c r="B45" s="227"/>
      <c r="C45" s="227"/>
      <c r="D45" s="227"/>
    </row>
    <row r="46" spans="1:4" ht="15" customHeight="1">
      <c r="A46" s="226"/>
      <c r="B46" s="227"/>
      <c r="C46" s="227"/>
      <c r="D46" s="227"/>
    </row>
    <row r="47" spans="1:4" ht="15" customHeight="1">
      <c r="A47" s="226"/>
      <c r="B47" s="227"/>
      <c r="C47" s="227"/>
      <c r="D47" s="227"/>
    </row>
    <row r="48" spans="1:4" ht="15" customHeight="1">
      <c r="A48" s="226"/>
      <c r="B48" s="227"/>
      <c r="C48" s="227"/>
      <c r="D48" s="227"/>
    </row>
    <row r="49" spans="1:4" s="133" customFormat="1" ht="15" customHeight="1">
      <c r="A49" s="226"/>
      <c r="B49" s="227"/>
      <c r="C49" s="227"/>
      <c r="D49" s="227"/>
    </row>
    <row r="50" spans="1:4" s="133" customFormat="1" ht="15" customHeight="1">
      <c r="A50" s="226"/>
      <c r="B50" s="227"/>
      <c r="C50" s="227"/>
      <c r="D50" s="227"/>
    </row>
    <row r="51" spans="1:4" s="133" customFormat="1" ht="15" customHeight="1">
      <c r="A51" s="226"/>
      <c r="B51" s="227"/>
      <c r="C51" s="227"/>
      <c r="D51" s="227"/>
    </row>
    <row r="52" spans="1:4" s="133" customFormat="1" ht="15" customHeight="1">
      <c r="A52" s="226"/>
      <c r="B52" s="227"/>
      <c r="C52" s="227"/>
      <c r="D52" s="227"/>
    </row>
    <row r="53" spans="1:4" s="133" customFormat="1" ht="15" customHeight="1">
      <c r="A53" s="226"/>
      <c r="B53" s="227"/>
      <c r="C53" s="227"/>
      <c r="D53" s="227"/>
    </row>
    <row r="54" spans="1:4" s="133" customFormat="1" ht="15" customHeight="1">
      <c r="A54" s="226"/>
      <c r="B54" s="227"/>
      <c r="C54" s="227"/>
      <c r="D54" s="227"/>
    </row>
    <row r="55" spans="1:4" s="133" customFormat="1" ht="15" customHeight="1">
      <c r="A55" s="226"/>
      <c r="B55" s="224"/>
      <c r="C55" s="224"/>
      <c r="D55" s="224"/>
    </row>
    <row r="56" spans="1:4" s="133" customFormat="1" ht="15" customHeight="1">
      <c r="A56" s="226"/>
      <c r="B56" s="224"/>
      <c r="C56" s="224"/>
      <c r="D56" s="224"/>
    </row>
    <row r="57" spans="1:4" s="133" customFormat="1" ht="15" customHeight="1">
      <c r="A57" s="226"/>
      <c r="B57" s="224"/>
      <c r="C57" s="224"/>
      <c r="D57" s="224"/>
    </row>
    <row r="58" spans="1:4" s="133" customFormat="1" ht="15" customHeight="1">
      <c r="A58" s="226"/>
      <c r="B58" s="224"/>
      <c r="C58" s="224"/>
      <c r="D58" s="224"/>
    </row>
    <row r="59" spans="1:4" s="133" customFormat="1" ht="15" customHeight="1">
      <c r="A59" s="226"/>
      <c r="B59" s="224"/>
      <c r="C59" s="224"/>
      <c r="D59" s="224"/>
    </row>
    <row r="60" spans="1:4" s="133" customFormat="1" ht="15" customHeight="1">
      <c r="A60" s="226"/>
      <c r="B60" s="224"/>
      <c r="C60" s="224"/>
      <c r="D60" s="224"/>
    </row>
    <row r="61" spans="1:4" s="133" customFormat="1" ht="15" customHeight="1">
      <c r="A61" s="226"/>
      <c r="B61" s="224"/>
      <c r="C61" s="224"/>
      <c r="D61" s="224"/>
    </row>
    <row r="62" spans="1:4" s="133" customFormat="1" ht="15" customHeight="1">
      <c r="A62" s="226"/>
      <c r="B62" s="224"/>
      <c r="C62" s="224"/>
      <c r="D62" s="224"/>
    </row>
    <row r="63" spans="1:4" s="133" customFormat="1" ht="15" customHeight="1">
      <c r="A63" s="226"/>
      <c r="B63" s="224"/>
      <c r="C63" s="224"/>
      <c r="D63" s="224"/>
    </row>
    <row r="64" spans="1:4" s="133" customFormat="1" ht="15" customHeight="1">
      <c r="A64" s="226"/>
      <c r="B64" s="224"/>
      <c r="C64" s="224"/>
      <c r="D64" s="224"/>
    </row>
    <row r="65" s="133" customFormat="1" ht="15" customHeight="1">
      <c r="A65" s="226"/>
    </row>
    <row r="66" s="133" customFormat="1" ht="15" customHeight="1">
      <c r="A66" s="226"/>
    </row>
    <row r="67" s="133" customFormat="1" ht="15" customHeight="1">
      <c r="A67" s="226"/>
    </row>
    <row r="68" s="133" customFormat="1" ht="15" customHeight="1">
      <c r="A68" s="226"/>
    </row>
    <row r="69" s="133" customFormat="1" ht="15" customHeight="1">
      <c r="A69" s="226"/>
    </row>
    <row r="70" s="133" customFormat="1" ht="15" customHeight="1">
      <c r="A70" s="226"/>
    </row>
    <row r="71" s="133" customFormat="1" ht="15" customHeight="1">
      <c r="A71" s="226"/>
    </row>
    <row r="72" s="133" customFormat="1" ht="15" customHeight="1">
      <c r="A72" s="226"/>
    </row>
    <row r="73" s="133" customFormat="1" ht="15" customHeight="1">
      <c r="A73" s="226"/>
    </row>
    <row r="74" s="133" customFormat="1" ht="15" customHeight="1">
      <c r="A74" s="226"/>
    </row>
  </sheetData>
  <sheetProtection/>
  <mergeCells count="3">
    <mergeCell ref="A1:F1"/>
    <mergeCell ref="A3:F3"/>
    <mergeCell ref="A4:F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aabrams</dc:creator>
  <cp:keywords/>
  <dc:description/>
  <cp:lastModifiedBy>aabrams</cp:lastModifiedBy>
  <cp:lastPrinted>2013-08-08T14:47:32Z</cp:lastPrinted>
  <dcterms:created xsi:type="dcterms:W3CDTF">2013-07-30T13:21:23Z</dcterms:created>
  <dcterms:modified xsi:type="dcterms:W3CDTF">2013-08-08T14:48:11Z</dcterms:modified>
  <cp:category/>
  <cp:version/>
  <cp:contentType/>
  <cp:contentStatus/>
</cp:coreProperties>
</file>